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 OJ\Documents\Disbursements 2021 - Copy\"/>
    </mc:Choice>
  </mc:AlternateContent>
  <xr:revisionPtr revIDLastSave="0" documentId="13_ncr:1_{2B1D1D41-41CC-4999-9D78-89BC23EE3D79}" xr6:coauthVersionLast="47" xr6:coauthVersionMax="47" xr10:uidLastSave="{00000000-0000-0000-0000-000000000000}"/>
  <bookViews>
    <workbookView xWindow="60" yWindow="600" windowWidth="20430" windowHeight="10920" firstSheet="1" activeTab="4" xr2:uid="{00000000-000D-0000-FFFF-FFFF00000000}"/>
  </bookViews>
  <sheets>
    <sheet name="MONTHENTRY" sheetId="8" state="hidden" r:id="rId1"/>
    <sheet name="Sum &amp; FG" sheetId="4" r:id="rId2"/>
    <sheet name="SG Details" sheetId="1" r:id="rId3"/>
    <sheet name="Ecology to States Sept 2021" sheetId="14" r:id="rId4"/>
    <sheet name="sum Lgcs " sheetId="18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Details'!$A$1:$T$50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8" l="1"/>
  <c r="K39" i="18"/>
  <c r="J46" i="18"/>
  <c r="H46" i="18"/>
  <c r="G46" i="18"/>
  <c r="F46" i="18"/>
  <c r="D46" i="18"/>
  <c r="K43" i="18"/>
  <c r="K42" i="18"/>
  <c r="K41" i="18"/>
  <c r="K40" i="18"/>
  <c r="K36" i="18"/>
  <c r="K35" i="18"/>
  <c r="K33" i="18"/>
  <c r="K32" i="18"/>
  <c r="E32" i="18"/>
  <c r="E31" i="18"/>
  <c r="K31" i="18" s="1"/>
  <c r="E30" i="18"/>
  <c r="K30" i="18" s="1"/>
  <c r="E29" i="18"/>
  <c r="E28" i="18"/>
  <c r="K28" i="18" s="1"/>
  <c r="E27" i="18"/>
  <c r="K27" i="18" s="1"/>
  <c r="K26" i="18"/>
  <c r="E26" i="18"/>
  <c r="E25" i="18"/>
  <c r="K25" i="18" s="1"/>
  <c r="E24" i="18"/>
  <c r="K24" i="18" s="1"/>
  <c r="E23" i="18"/>
  <c r="K23" i="18" s="1"/>
  <c r="E22" i="18"/>
  <c r="E21" i="18"/>
  <c r="K21" i="18" s="1"/>
  <c r="K20" i="18"/>
  <c r="E20" i="18"/>
  <c r="E19" i="18"/>
  <c r="K19" i="18" s="1"/>
  <c r="E18" i="18"/>
  <c r="K18" i="18" s="1"/>
  <c r="E17" i="18"/>
  <c r="K17" i="18" s="1"/>
  <c r="E16" i="18"/>
  <c r="K16" i="18" s="1"/>
  <c r="E15" i="18"/>
  <c r="K14" i="18"/>
  <c r="E14" i="18"/>
  <c r="E13" i="18"/>
  <c r="E12" i="18"/>
  <c r="E11" i="18"/>
  <c r="K11" i="18" s="1"/>
  <c r="E10" i="18"/>
  <c r="K10" i="18" s="1"/>
  <c r="E9" i="18"/>
  <c r="K9" i="18" s="1"/>
  <c r="K8" i="18"/>
  <c r="E8" i="18"/>
  <c r="M7" i="18"/>
  <c r="E7" i="18"/>
  <c r="K37" i="18" l="1"/>
  <c r="K22" i="18"/>
  <c r="K29" i="18"/>
  <c r="K15" i="18"/>
  <c r="K38" i="18"/>
  <c r="E46" i="18"/>
  <c r="K13" i="18"/>
  <c r="K12" i="18"/>
  <c r="K34" i="18"/>
  <c r="K45" i="18"/>
  <c r="K7" i="18"/>
  <c r="K44" i="18"/>
  <c r="R46" i="1"/>
  <c r="R45" i="1"/>
  <c r="Q46" i="1"/>
  <c r="S46" i="1"/>
  <c r="Q45" i="1"/>
  <c r="S45" i="1"/>
  <c r="P47" i="1"/>
  <c r="O47" i="1"/>
  <c r="N47" i="1"/>
  <c r="M47" i="1"/>
  <c r="L47" i="1"/>
  <c r="K47" i="1"/>
  <c r="I47" i="1"/>
  <c r="G7" i="14"/>
  <c r="G9" i="14"/>
  <c r="G12" i="14"/>
  <c r="G15" i="14"/>
  <c r="G16" i="14"/>
  <c r="G18" i="14"/>
  <c r="G22" i="14"/>
  <c r="G34" i="14"/>
  <c r="G38" i="14"/>
  <c r="H38" i="14" s="1"/>
  <c r="F22" i="14"/>
  <c r="E22" i="14"/>
  <c r="D22" i="14"/>
  <c r="F38" i="14"/>
  <c r="E38" i="14"/>
  <c r="D38" i="14"/>
  <c r="G37" i="14"/>
  <c r="H37" i="14" s="1"/>
  <c r="F37" i="14"/>
  <c r="E37" i="14"/>
  <c r="D37" i="14"/>
  <c r="F34" i="14"/>
  <c r="E34" i="14"/>
  <c r="D34" i="14"/>
  <c r="G32" i="14"/>
  <c r="F32" i="14"/>
  <c r="H32" i="14" s="1"/>
  <c r="E32" i="14"/>
  <c r="D32" i="14"/>
  <c r="G29" i="14"/>
  <c r="F29" i="14"/>
  <c r="E29" i="14"/>
  <c r="D29" i="14"/>
  <c r="G28" i="14"/>
  <c r="F28" i="14"/>
  <c r="F43" i="14" s="1"/>
  <c r="E28" i="14"/>
  <c r="D28" i="14"/>
  <c r="G27" i="14"/>
  <c r="F27" i="14"/>
  <c r="E27" i="14"/>
  <c r="D27" i="14"/>
  <c r="F18" i="14"/>
  <c r="E18" i="14"/>
  <c r="H18" i="14" s="1"/>
  <c r="D18" i="14"/>
  <c r="F16" i="14"/>
  <c r="E16" i="14"/>
  <c r="D16" i="14"/>
  <c r="F15" i="14"/>
  <c r="E15" i="14"/>
  <c r="D15" i="14"/>
  <c r="G13" i="14"/>
  <c r="H13" i="14" s="1"/>
  <c r="F13" i="14"/>
  <c r="E13" i="14"/>
  <c r="E43" i="14" s="1"/>
  <c r="D13" i="14"/>
  <c r="D43" i="14" s="1"/>
  <c r="F12" i="14"/>
  <c r="E12" i="14"/>
  <c r="D12" i="14"/>
  <c r="D44" i="14" s="1"/>
  <c r="F9" i="14"/>
  <c r="E9" i="14"/>
  <c r="D9" i="14"/>
  <c r="F7" i="14"/>
  <c r="E7" i="14"/>
  <c r="E44" i="14" s="1"/>
  <c r="D7" i="14"/>
  <c r="H7" i="14" s="1"/>
  <c r="C19" i="4"/>
  <c r="H42" i="14"/>
  <c r="H41" i="14"/>
  <c r="H40" i="14"/>
  <c r="H39" i="14"/>
  <c r="H36" i="14"/>
  <c r="H35" i="14"/>
  <c r="H34" i="14"/>
  <c r="H33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7" i="14"/>
  <c r="H16" i="14"/>
  <c r="H15" i="14"/>
  <c r="H14" i="14"/>
  <c r="H12" i="14"/>
  <c r="H11" i="14"/>
  <c r="H10" i="14"/>
  <c r="H9" i="14"/>
  <c r="H8" i="14"/>
  <c r="F44" i="1"/>
  <c r="F43" i="1"/>
  <c r="F42" i="1"/>
  <c r="R42" i="1" s="1"/>
  <c r="F41" i="1"/>
  <c r="F40" i="1"/>
  <c r="F39" i="1"/>
  <c r="F38" i="1"/>
  <c r="F37" i="1"/>
  <c r="F36" i="1"/>
  <c r="F35" i="1"/>
  <c r="F34" i="1"/>
  <c r="J34" i="1" s="1"/>
  <c r="S34" i="1" s="1"/>
  <c r="F33" i="1"/>
  <c r="F32" i="1"/>
  <c r="F31" i="1"/>
  <c r="F30" i="1"/>
  <c r="F29" i="1"/>
  <c r="F28" i="1"/>
  <c r="F27" i="1"/>
  <c r="F26" i="1"/>
  <c r="J26" i="1" s="1"/>
  <c r="S26" i="1" s="1"/>
  <c r="F25" i="1"/>
  <c r="F24" i="1"/>
  <c r="F23" i="1"/>
  <c r="F22" i="1"/>
  <c r="F21" i="1"/>
  <c r="F20" i="1"/>
  <c r="F19" i="1"/>
  <c r="F18" i="1"/>
  <c r="J18" i="1" s="1"/>
  <c r="S18" i="1" s="1"/>
  <c r="F17" i="1"/>
  <c r="F16" i="1"/>
  <c r="F15" i="1"/>
  <c r="F14" i="1"/>
  <c r="F13" i="1"/>
  <c r="R13" i="1"/>
  <c r="F12" i="1"/>
  <c r="F11" i="1"/>
  <c r="J11" i="1" s="1"/>
  <c r="F10" i="1"/>
  <c r="F9" i="1"/>
  <c r="H47" i="1"/>
  <c r="G47" i="1"/>
  <c r="E47" i="1"/>
  <c r="D47" i="1"/>
  <c r="J29" i="1"/>
  <c r="R29" i="1"/>
  <c r="J30" i="1"/>
  <c r="R30" i="1"/>
  <c r="J15" i="1"/>
  <c r="R15" i="1"/>
  <c r="J24" i="1"/>
  <c r="R24" i="1"/>
  <c r="J32" i="1"/>
  <c r="R32" i="1"/>
  <c r="J40" i="1"/>
  <c r="R40" i="1"/>
  <c r="J31" i="1"/>
  <c r="R31" i="1"/>
  <c r="J33" i="1"/>
  <c r="R33" i="1"/>
  <c r="J41" i="1"/>
  <c r="R41" i="1"/>
  <c r="J14" i="1"/>
  <c r="R14" i="1"/>
  <c r="J39" i="1"/>
  <c r="R39" i="1"/>
  <c r="J9" i="1"/>
  <c r="R9" i="1"/>
  <c r="R26" i="1"/>
  <c r="J38" i="1"/>
  <c r="R38" i="1"/>
  <c r="J23" i="1"/>
  <c r="R23" i="1"/>
  <c r="J16" i="1"/>
  <c r="R16" i="1"/>
  <c r="J17" i="1"/>
  <c r="R17" i="1"/>
  <c r="J19" i="1"/>
  <c r="R19" i="1"/>
  <c r="J27" i="1"/>
  <c r="R27" i="1"/>
  <c r="J35" i="1"/>
  <c r="R35" i="1"/>
  <c r="J43" i="1"/>
  <c r="R43" i="1"/>
  <c r="J22" i="1"/>
  <c r="R22" i="1"/>
  <c r="J25" i="1"/>
  <c r="R25" i="1"/>
  <c r="J10" i="1"/>
  <c r="R10" i="1"/>
  <c r="J12" i="1"/>
  <c r="R12" i="1"/>
  <c r="J20" i="1"/>
  <c r="R20" i="1"/>
  <c r="J28" i="1"/>
  <c r="R28" i="1"/>
  <c r="J36" i="1"/>
  <c r="R36" i="1"/>
  <c r="J44" i="1"/>
  <c r="R44" i="1"/>
  <c r="J21" i="1"/>
  <c r="R21" i="1"/>
  <c r="J37" i="1"/>
  <c r="R37" i="1"/>
  <c r="J13" i="1"/>
  <c r="Q44" i="1"/>
  <c r="S44" i="1" s="1"/>
  <c r="Q43" i="1"/>
  <c r="S43" i="1" s="1"/>
  <c r="Q42" i="1"/>
  <c r="Q41" i="1"/>
  <c r="S41" i="1"/>
  <c r="Q40" i="1"/>
  <c r="S40" i="1" s="1"/>
  <c r="Q39" i="1"/>
  <c r="S39" i="1" s="1"/>
  <c r="Q38" i="1"/>
  <c r="S38" i="1"/>
  <c r="Q37" i="1"/>
  <c r="S37" i="1"/>
  <c r="Q36" i="1"/>
  <c r="S36" i="1" s="1"/>
  <c r="Q35" i="1"/>
  <c r="S35" i="1" s="1"/>
  <c r="Q34" i="1"/>
  <c r="Q33" i="1"/>
  <c r="S33" i="1"/>
  <c r="Q32" i="1"/>
  <c r="S32" i="1" s="1"/>
  <c r="Q31" i="1"/>
  <c r="S31" i="1" s="1"/>
  <c r="Q30" i="1"/>
  <c r="S30" i="1"/>
  <c r="Q29" i="1"/>
  <c r="S29" i="1"/>
  <c r="Q28" i="1"/>
  <c r="S28" i="1" s="1"/>
  <c r="Q27" i="1"/>
  <c r="S27" i="1" s="1"/>
  <c r="Q26" i="1"/>
  <c r="Q25" i="1"/>
  <c r="S25" i="1"/>
  <c r="Q24" i="1"/>
  <c r="S24" i="1" s="1"/>
  <c r="Q23" i="1"/>
  <c r="S23" i="1" s="1"/>
  <c r="Q22" i="1"/>
  <c r="S22" i="1"/>
  <c r="Q21" i="1"/>
  <c r="S21" i="1"/>
  <c r="Q20" i="1"/>
  <c r="S20" i="1" s="1"/>
  <c r="Q19" i="1"/>
  <c r="S19" i="1" s="1"/>
  <c r="Q18" i="1"/>
  <c r="Q17" i="1"/>
  <c r="S17" i="1"/>
  <c r="Q16" i="1"/>
  <c r="S16" i="1" s="1"/>
  <c r="Q15" i="1"/>
  <c r="S15" i="1" s="1"/>
  <c r="Q14" i="1"/>
  <c r="S14" i="1"/>
  <c r="Q13" i="1"/>
  <c r="S13" i="1"/>
  <c r="Q12" i="1"/>
  <c r="S12" i="1" s="1"/>
  <c r="Q11" i="1"/>
  <c r="Q10" i="1"/>
  <c r="S10" i="1"/>
  <c r="Q9" i="1"/>
  <c r="S9" i="1" s="1"/>
  <c r="H30" i="4"/>
  <c r="I30" i="4"/>
  <c r="G30" i="4"/>
  <c r="F30" i="4"/>
  <c r="D30" i="4"/>
  <c r="C30" i="4"/>
  <c r="E29" i="4"/>
  <c r="J29" i="4" s="1"/>
  <c r="E28" i="4"/>
  <c r="J28" i="4" s="1"/>
  <c r="E27" i="4"/>
  <c r="J27" i="4"/>
  <c r="E26" i="4"/>
  <c r="J26" i="4"/>
  <c r="E25" i="4"/>
  <c r="J25" i="4" s="1"/>
  <c r="E30" i="4"/>
  <c r="H18" i="4"/>
  <c r="H17" i="4"/>
  <c r="H16" i="4"/>
  <c r="H15" i="4"/>
  <c r="H14" i="4"/>
  <c r="H13" i="4"/>
  <c r="H12" i="4"/>
  <c r="H11" i="4"/>
  <c r="H10" i="4"/>
  <c r="H7" i="4"/>
  <c r="G19" i="4"/>
  <c r="F9" i="4"/>
  <c r="H9" i="4" s="1"/>
  <c r="H19" i="4" s="1"/>
  <c r="F8" i="4"/>
  <c r="E9" i="4"/>
  <c r="E8" i="4"/>
  <c r="E19" i="4" s="1"/>
  <c r="D19" i="4"/>
  <c r="H8" i="4"/>
  <c r="F5" i="8"/>
  <c r="F13" i="8" s="1"/>
  <c r="B1" i="8"/>
  <c r="C1" i="8"/>
  <c r="G5" i="8"/>
  <c r="B5" i="8" s="1"/>
  <c r="K46" i="18" l="1"/>
  <c r="F6" i="8"/>
  <c r="F15" i="8"/>
  <c r="F18" i="8"/>
  <c r="F16" i="8"/>
  <c r="F14" i="8"/>
  <c r="C5" i="8"/>
  <c r="B6" i="8" s="1"/>
  <c r="F10" i="8"/>
  <c r="F11" i="8"/>
  <c r="B12" i="8"/>
  <c r="B19" i="8"/>
  <c r="B15" i="8"/>
  <c r="B13" i="8"/>
  <c r="B10" i="8"/>
  <c r="B14" i="8"/>
  <c r="B16" i="8"/>
  <c r="B17" i="8"/>
  <c r="B9" i="8"/>
  <c r="B8" i="8"/>
  <c r="B18" i="8"/>
  <c r="B11" i="8"/>
  <c r="D45" i="14"/>
  <c r="S11" i="1"/>
  <c r="S47" i="1" s="1"/>
  <c r="J30" i="4"/>
  <c r="H44" i="14"/>
  <c r="F17" i="8"/>
  <c r="F12" i="8"/>
  <c r="Q47" i="1"/>
  <c r="J42" i="1"/>
  <c r="S42" i="1" s="1"/>
  <c r="E45" i="14"/>
  <c r="F44" i="14"/>
  <c r="F45" i="14" s="1"/>
  <c r="G43" i="14"/>
  <c r="G45" i="14" s="1"/>
  <c r="G44" i="14"/>
  <c r="F9" i="8"/>
  <c r="F19" i="4"/>
  <c r="R34" i="1"/>
  <c r="R11" i="1"/>
  <c r="R47" i="1" s="1"/>
  <c r="F47" i="1"/>
  <c r="R18" i="1"/>
  <c r="F8" i="8"/>
  <c r="F19" i="8"/>
  <c r="H43" i="14" l="1"/>
  <c r="H45" i="14" s="1"/>
  <c r="J47" i="1"/>
</calcChain>
</file>

<file path=xl/sharedStrings.xml><?xml version="1.0" encoding="utf-8"?>
<sst xmlns="http://schemas.openxmlformats.org/spreadsheetml/2006/main" count="291" uniqueCount="138">
  <si>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</si>
  <si>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</si>
  <si>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</si>
  <si>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</si>
  <si>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</si>
  <si>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</si>
  <si>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</si>
  <si>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</si>
  <si>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</si>
  <si>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</si>
  <si>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Value Added Tax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</si>
  <si>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</si>
  <si>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</si>
  <si>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</si>
  <si>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</si>
  <si>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</si>
  <si>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</si>
  <si>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</si>
  <si>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</si>
  <si>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</si>
  <si>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</si>
  <si>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</si>
  <si>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</si>
  <si>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</si>
  <si>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</si>
  <si>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</si>
  <si>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</si>
  <si>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</si>
  <si>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</si>
  <si>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</si>
  <si>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</si>
  <si>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</si>
  <si>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</si>
  <si>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Exchange Gain Difference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</si>
  <si>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</si>
  <si>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</si>
  <si>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</si>
  <si>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</si>
  <si>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</si>
  <si>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</si>
  <si>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</si>
  <si>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</si>
  <si>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</si>
  <si>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</si>
  <si>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</si>
  <si>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</si>
  <si>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</si>
  <si>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</si>
  <si>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</si>
  <si>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</si>
  <si>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</si>
  <si>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</si>
  <si>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</si>
  <si>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</si>
  <si>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</si>
  <si>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</si>
  <si>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</si>
  <si>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</si>
  <si>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</si>
  <si>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</si>
  <si>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</si>
  <si>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</si>
  <si>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</si>
  <si>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</si>
  <si>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</si>
  <si>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</si>
  <si>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</si>
  <si>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</si>
  <si>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</si>
  <si>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</si>
  <si>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</si>
  <si>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</si>
  <si>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</si>
  <si>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</si>
  <si>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</si>
  <si>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</si>
  <si>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</si>
  <si>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</si>
  <si>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</si>
  <si>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</si>
  <si>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</si>
  <si>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</si>
  <si>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</si>
  <si>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</si>
  <si>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</si>
  <si>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</si>
  <si>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</si>
  <si>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</si>
  <si>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</si>
  <si>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</si>
  <si>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Office of the Accountant General of the Federation</t>
  </si>
  <si>
    <t xml:space="preserve">  Federal Ministry of Finance, Budget &amp; National Planning, Abuja</t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</si>
  <si>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</si>
  <si>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FIRS Refund on Cost of Collection</t>
  </si>
  <si>
    <t>North East Development Commission</t>
  </si>
  <si>
    <t>Police Trust Fund</t>
  </si>
  <si>
    <t>13% Derivation Refund to Oil Producing States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</si>
  <si>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</si>
  <si>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₦</t>
  </si>
  <si>
    <t xml:space="preserve"> Cost of Collections - FIRS</t>
  </si>
  <si>
    <t>TOTAL</t>
  </si>
  <si>
    <t xml:space="preserve"> Cost of Collections - DPR</t>
  </si>
  <si>
    <t>Refund of WHT AND STAMP Duty on Individuals and Enterprice</t>
  </si>
  <si>
    <t>Excess Bank Charges</t>
  </si>
  <si>
    <t>Distribution of ₦50 Billion from Non-Oil Excess Account</t>
  </si>
  <si>
    <t>Less Deduction</t>
  </si>
  <si>
    <t>Summary of Gross Revenue Allocation by Federation Account Allocation Committee for the Month of August, 2021 Shared in September, 2021</t>
  </si>
  <si>
    <t>Distribution of Revenue Allocation to FGN by Federation Account Allocation Committee for the Month of August, 2021 Shared in September, 2021</t>
  </si>
  <si>
    <t>4=2-3</t>
  </si>
  <si>
    <t>9=4+5+6+7+8</t>
  </si>
  <si>
    <t>Exchange Gain Allocation</t>
  </si>
  <si>
    <t>Ecology Fund</t>
  </si>
  <si>
    <t>Deduction</t>
  </si>
  <si>
    <t>Net VAT</t>
  </si>
  <si>
    <t>18=6+11+12+13+14+5</t>
  </si>
  <si>
    <t>19=10+11+12+13+14+17</t>
  </si>
  <si>
    <t>Office of the Accountant-General of the Federation</t>
  </si>
  <si>
    <t>Federal Ministry of Finance, Budget &amp; National Planning, Abuja.</t>
  </si>
  <si>
    <t>(Ecology)Gross Statutory Allocation</t>
  </si>
  <si>
    <t>(Ecology)Exchange Gain Difference</t>
  </si>
  <si>
    <t>Total States</t>
  </si>
  <si>
    <t>SOURCE:Office of the Accountant-General of the Federation.</t>
  </si>
  <si>
    <t>Details of Distribution of Ecology Revenue Allocation to States by Federation Account Allocation Committee for the month of August, 2021 Shared in September, 2021</t>
  </si>
  <si>
    <t>(Ecology)Distribution of ₦50 Billion from Non-Oil Excess Account</t>
  </si>
  <si>
    <t>(Ecology)Excess Bank Charges</t>
  </si>
  <si>
    <t>Federal Ministry of Finance, Abuja.</t>
  </si>
  <si>
    <t>15(3+4+5+6+7+8+9+10+11+12+13+14)</t>
  </si>
  <si>
    <t>Exchange Gain</t>
  </si>
  <si>
    <t>FCT, ABUJA</t>
  </si>
  <si>
    <t>Total LGCs</t>
  </si>
  <si>
    <t>HYPPADEC</t>
  </si>
  <si>
    <t>NDDC</t>
  </si>
  <si>
    <t>7(3+4+5+6)</t>
  </si>
  <si>
    <t>Dr. (Mrs.) Zainab S. Ahmed</t>
  </si>
  <si>
    <t>Hon. Minister of Finance, Budget &amp; National Planning</t>
  </si>
  <si>
    <t>Distribution of Revenue Allocation to State Governments by Federation Account Allocation Committee for the month of August,2021 Shared in September,2021</t>
  </si>
  <si>
    <t>Total Ecology</t>
  </si>
  <si>
    <t>Summary of Distribution of Revenue Allocation to Local Government Councils by Federation Account Allocation Committee for the month of August, 2021 Shared in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</si>
</sst>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 &quot;#,##0.00;\-&quot; &quot;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</cellStyleXfs>
  <cellXfs count="1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164" fontId="0" fillId="0" borderId="2" xfId="1" applyFont="1" applyBorder="1"/>
    <xf numFmtId="164" fontId="2" fillId="0" borderId="2" xfId="0" applyNumberFormat="1" applyFont="1" applyBorder="1"/>
    <xf numFmtId="0" fontId="8" fillId="0" borderId="0" xfId="0" applyFont="1"/>
    <xf numFmtId="0" fontId="0" fillId="0" borderId="1" xfId="0" applyBorder="1" applyAlignment="1">
      <alignment horizontal="center"/>
    </xf>
    <xf numFmtId="0" fontId="9" fillId="0" borderId="0" xfId="0" applyFont="1" applyFill="1" applyBorder="1"/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6" fillId="2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0" xfId="0" applyFont="1"/>
    <xf numFmtId="0" fontId="13" fillId="0" borderId="0" xfId="0" applyFont="1" applyAlignment="1"/>
    <xf numFmtId="0" fontId="15" fillId="0" borderId="0" xfId="0" applyFont="1" applyAlignment="1"/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5" fillId="0" borderId="1" xfId="0" applyFont="1" applyBorder="1" applyAlignment="1"/>
    <xf numFmtId="164" fontId="15" fillId="0" borderId="5" xfId="1" applyFont="1" applyBorder="1"/>
    <xf numFmtId="164" fontId="15" fillId="0" borderId="1" xfId="1" applyFont="1" applyBorder="1"/>
    <xf numFmtId="164" fontId="15" fillId="0" borderId="0" xfId="0" applyNumberFormat="1" applyFont="1"/>
    <xf numFmtId="164" fontId="13" fillId="0" borderId="6" xfId="1" applyFont="1" applyBorder="1"/>
    <xf numFmtId="43" fontId="15" fillId="0" borderId="0" xfId="0" applyNumberFormat="1" applyFont="1"/>
    <xf numFmtId="0" fontId="15" fillId="0" borderId="0" xfId="0" applyFont="1" applyFill="1" applyBorder="1"/>
    <xf numFmtId="0" fontId="12" fillId="0" borderId="1" xfId="0" quotePrefix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64" fontId="13" fillId="0" borderId="1" xfId="1" applyFont="1" applyBorder="1" applyAlignment="1"/>
    <xf numFmtId="164" fontId="13" fillId="3" borderId="1" xfId="1" applyFont="1" applyFill="1" applyBorder="1" applyAlignment="1"/>
    <xf numFmtId="164" fontId="13" fillId="0" borderId="4" xfId="1" applyFont="1" applyBorder="1" applyAlignment="1"/>
    <xf numFmtId="164" fontId="13" fillId="3" borderId="4" xfId="1" applyFont="1" applyFill="1" applyBorder="1" applyAlignment="1"/>
    <xf numFmtId="0" fontId="12" fillId="0" borderId="4" xfId="0" quotePrefix="1" applyFont="1" applyBorder="1" applyAlignment="1">
      <alignment horizontal="center"/>
    </xf>
    <xf numFmtId="164" fontId="15" fillId="0" borderId="4" xfId="1" applyFont="1" applyBorder="1"/>
    <xf numFmtId="0" fontId="15" fillId="3" borderId="0" xfId="0" applyFont="1" applyFill="1"/>
    <xf numFmtId="0" fontId="18" fillId="0" borderId="1" xfId="0" quotePrefix="1" applyFont="1" applyBorder="1" applyAlignment="1">
      <alignment horizontal="center"/>
    </xf>
    <xf numFmtId="165" fontId="21" fillId="0" borderId="1" xfId="1" applyNumberFormat="1" applyFont="1" applyBorder="1" applyAlignment="1">
      <alignment horizontal="left"/>
    </xf>
    <xf numFmtId="165" fontId="21" fillId="0" borderId="1" xfId="1" applyNumberFormat="1" applyFont="1" applyBorder="1" applyAlignment="1">
      <alignment horizontal="left" vertical="top"/>
    </xf>
    <xf numFmtId="164" fontId="21" fillId="0" borderId="1" xfId="1" applyFont="1" applyBorder="1" applyAlignment="1">
      <alignment horizontal="center" vertical="top"/>
    </xf>
    <xf numFmtId="164" fontId="21" fillId="0" borderId="1" xfId="1" applyFont="1" applyBorder="1" applyAlignment="1">
      <alignment horizontal="center"/>
    </xf>
    <xf numFmtId="164" fontId="22" fillId="0" borderId="1" xfId="1" applyFont="1" applyBorder="1"/>
    <xf numFmtId="164" fontId="22" fillId="0" borderId="1" xfId="1" applyFont="1" applyBorder="1" applyAlignment="1">
      <alignment wrapText="1"/>
    </xf>
    <xf numFmtId="164" fontId="22" fillId="0" borderId="1" xfId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64" fontId="23" fillId="0" borderId="1" xfId="1" applyFont="1" applyBorder="1"/>
    <xf numFmtId="0" fontId="17" fillId="0" borderId="4" xfId="0" quotePrefix="1" applyFont="1" applyBorder="1" applyAlignment="1">
      <alignment horizontal="center"/>
    </xf>
    <xf numFmtId="165" fontId="23" fillId="0" borderId="1" xfId="1" applyNumberFormat="1" applyFont="1" applyBorder="1" applyAlignment="1">
      <alignment horizontal="left"/>
    </xf>
    <xf numFmtId="165" fontId="23" fillId="0" borderId="1" xfId="1" applyNumberFormat="1" applyFont="1" applyBorder="1"/>
    <xf numFmtId="164" fontId="21" fillId="0" borderId="1" xfId="1" applyFont="1" applyBorder="1"/>
    <xf numFmtId="164" fontId="24" fillId="0" borderId="1" xfId="1" applyFont="1" applyBorder="1"/>
    <xf numFmtId="164" fontId="22" fillId="0" borderId="4" xfId="1" applyFont="1" applyBorder="1" applyAlignment="1">
      <alignment horizontal="center" wrapText="1"/>
    </xf>
    <xf numFmtId="164" fontId="21" fillId="0" borderId="1" xfId="1" applyFont="1" applyBorder="1" applyAlignment="1">
      <alignment horizontal="left" vertical="top" wrapText="1"/>
    </xf>
    <xf numFmtId="164" fontId="22" fillId="0" borderId="1" xfId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27" fillId="4" borderId="11" xfId="3" applyFont="1" applyFill="1" applyBorder="1" applyAlignment="1">
      <alignment horizontal="center" wrapText="1"/>
    </xf>
    <xf numFmtId="164" fontId="17" fillId="0" borderId="1" xfId="1" applyFont="1" applyBorder="1"/>
    <xf numFmtId="7" fontId="28" fillId="0" borderId="1" xfId="2" applyNumberFormat="1" applyFont="1" applyFill="1" applyBorder="1" applyAlignment="1">
      <alignment horizontal="right" wrapText="1"/>
    </xf>
    <xf numFmtId="164" fontId="15" fillId="0" borderId="0" xfId="1" applyFont="1"/>
    <xf numFmtId="164" fontId="13" fillId="0" borderId="1" xfId="1" applyFont="1" applyBorder="1"/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2" fillId="0" borderId="14" xfId="1" applyFont="1" applyBorder="1"/>
    <xf numFmtId="164" fontId="0" fillId="0" borderId="0" xfId="0" applyNumberForma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19" fillId="0" borderId="9" xfId="0" applyFont="1" applyBorder="1" applyAlignment="1">
      <alignment horizontal="center"/>
    </xf>
    <xf numFmtId="164" fontId="20" fillId="0" borderId="4" xfId="1" applyFont="1" applyBorder="1" applyAlignment="1">
      <alignment horizontal="center"/>
    </xf>
    <xf numFmtId="164" fontId="20" fillId="0" borderId="8" xfId="1" applyFont="1" applyBorder="1" applyAlignment="1">
      <alignment horizontal="center"/>
    </xf>
    <xf numFmtId="164" fontId="20" fillId="0" borderId="2" xfId="1" applyFont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165" fontId="23" fillId="0" borderId="1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 xr:uid="{00000000-0005-0000-0000-000003000000}"/>
    <cellStyle name="Normal_TOTALDATA_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12</v>
      </c>
      <c r="C1">
        <f ca="1">YEAR(NOW())</f>
        <v>2021</v>
      </c>
    </row>
    <row r="2" spans="1:8" ht="23.1" customHeight="1" x14ac:dyDescent="0.2"/>
    <row r="3" spans="1:8" ht="23.1" customHeight="1" x14ac:dyDescent="0.2">
      <c r="B3" t="s">
        <v>75</v>
      </c>
      <c r="F3" t="s">
        <v>76</v>
      </c>
    </row>
    <row r="4" spans="1:8" ht="23.1" customHeight="1" x14ac:dyDescent="0.2">
      <c r="B4" t="s">
        <v>72</v>
      </c>
      <c r="C4" t="s">
        <v>73</v>
      </c>
      <c r="D4" t="s">
        <v>74</v>
      </c>
      <c r="F4" t="s">
        <v>72</v>
      </c>
      <c r="G4" t="s">
        <v>73</v>
      </c>
      <c r="H4" t="s">
        <v>74</v>
      </c>
    </row>
    <row r="5" spans="1:8" ht="23.1" customHeight="1" x14ac:dyDescent="0.2">
      <c r="B5" s="16" t="e">
        <f>IF(G5=1,F5-1,F5)</f>
        <v>#REF!</v>
      </c>
      <c r="C5" s="1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18" t="e">
        <f>LOOKUP(C5,A8:B19)</f>
        <v>#REF!</v>
      </c>
      <c r="F6" s="18" t="e">
        <f>IF(G5=1,LOOKUP(G5,E8:F19),LOOKUP(G5,A8:B19))</f>
        <v>#REF!</v>
      </c>
    </row>
    <row r="8" spans="1:8" x14ac:dyDescent="0.2">
      <c r="A8">
        <v>1</v>
      </c>
      <c r="B8" s="19" t="e">
        <f>D8&amp;"-"&amp;RIGHT(B$5,2)</f>
        <v>#REF!</v>
      </c>
      <c r="D8" s="17" t="s">
        <v>85</v>
      </c>
      <c r="E8">
        <v>1</v>
      </c>
      <c r="F8" s="19" t="e">
        <f>D8&amp;"-"&amp;RIGHT(F$5,2)</f>
        <v>#REF!</v>
      </c>
    </row>
    <row r="9" spans="1:8" x14ac:dyDescent="0.2">
      <c r="A9">
        <v>2</v>
      </c>
      <c r="B9" s="19" t="e">
        <f t="shared" ref="B9:B19" si="0">D9&amp;"-"&amp;RIGHT(B$5,2)</f>
        <v>#REF!</v>
      </c>
      <c r="D9" s="17" t="s">
        <v>86</v>
      </c>
      <c r="E9">
        <v>2</v>
      </c>
      <c r="F9" s="19" t="e">
        <f t="shared" ref="F9:F19" si="1">D9&amp;"-"&amp;RIGHT(F$5,2)</f>
        <v>#REF!</v>
      </c>
    </row>
    <row r="10" spans="1:8" x14ac:dyDescent="0.2">
      <c r="A10">
        <v>3</v>
      </c>
      <c r="B10" s="19" t="e">
        <f t="shared" si="0"/>
        <v>#REF!</v>
      </c>
      <c r="D10" s="17" t="s">
        <v>87</v>
      </c>
      <c r="E10">
        <v>3</v>
      </c>
      <c r="F10" s="19" t="e">
        <f t="shared" si="1"/>
        <v>#REF!</v>
      </c>
    </row>
    <row r="11" spans="1:8" x14ac:dyDescent="0.2">
      <c r="A11">
        <v>4</v>
      </c>
      <c r="B11" s="19" t="e">
        <f t="shared" si="0"/>
        <v>#REF!</v>
      </c>
      <c r="D11" s="17" t="s">
        <v>88</v>
      </c>
      <c r="E11">
        <v>4</v>
      </c>
      <c r="F11" s="19" t="e">
        <f t="shared" si="1"/>
        <v>#REF!</v>
      </c>
    </row>
    <row r="12" spans="1:8" x14ac:dyDescent="0.2">
      <c r="A12">
        <v>5</v>
      </c>
      <c r="B12" s="19" t="e">
        <f t="shared" si="0"/>
        <v>#REF!</v>
      </c>
      <c r="D12" s="17" t="s">
        <v>77</v>
      </c>
      <c r="E12">
        <v>5</v>
      </c>
      <c r="F12" s="19" t="e">
        <f t="shared" si="1"/>
        <v>#REF!</v>
      </c>
    </row>
    <row r="13" spans="1:8" x14ac:dyDescent="0.2">
      <c r="A13">
        <v>6</v>
      </c>
      <c r="B13" s="19" t="e">
        <f t="shared" si="0"/>
        <v>#REF!</v>
      </c>
      <c r="D13" s="17" t="s">
        <v>78</v>
      </c>
      <c r="E13">
        <v>6</v>
      </c>
      <c r="F13" s="19" t="e">
        <f t="shared" si="1"/>
        <v>#REF!</v>
      </c>
    </row>
    <row r="14" spans="1:8" x14ac:dyDescent="0.2">
      <c r="A14">
        <v>7</v>
      </c>
      <c r="B14" s="19" t="e">
        <f t="shared" si="0"/>
        <v>#REF!</v>
      </c>
      <c r="D14" s="17" t="s">
        <v>79</v>
      </c>
      <c r="E14">
        <v>7</v>
      </c>
      <c r="F14" s="19" t="e">
        <f t="shared" si="1"/>
        <v>#REF!</v>
      </c>
    </row>
    <row r="15" spans="1:8" x14ac:dyDescent="0.2">
      <c r="A15">
        <v>8</v>
      </c>
      <c r="B15" s="19" t="e">
        <f t="shared" si="0"/>
        <v>#REF!</v>
      </c>
      <c r="D15" s="17" t="s">
        <v>80</v>
      </c>
      <c r="E15">
        <v>8</v>
      </c>
      <c r="F15" s="19" t="e">
        <f t="shared" si="1"/>
        <v>#REF!</v>
      </c>
    </row>
    <row r="16" spans="1:8" x14ac:dyDescent="0.2">
      <c r="A16">
        <v>9</v>
      </c>
      <c r="B16" s="19" t="e">
        <f t="shared" si="0"/>
        <v>#REF!</v>
      </c>
      <c r="D16" s="17" t="s">
        <v>81</v>
      </c>
      <c r="E16">
        <v>9</v>
      </c>
      <c r="F16" s="19" t="e">
        <f t="shared" si="1"/>
        <v>#REF!</v>
      </c>
    </row>
    <row r="17" spans="1:6" x14ac:dyDescent="0.2">
      <c r="A17">
        <v>10</v>
      </c>
      <c r="B17" s="19" t="e">
        <f t="shared" si="0"/>
        <v>#REF!</v>
      </c>
      <c r="D17" s="17" t="s">
        <v>82</v>
      </c>
      <c r="E17">
        <v>10</v>
      </c>
      <c r="F17" s="19" t="e">
        <f t="shared" si="1"/>
        <v>#REF!</v>
      </c>
    </row>
    <row r="18" spans="1:6" x14ac:dyDescent="0.2">
      <c r="A18">
        <v>11</v>
      </c>
      <c r="B18" s="19" t="e">
        <f t="shared" si="0"/>
        <v>#REF!</v>
      </c>
      <c r="D18" s="17" t="s">
        <v>83</v>
      </c>
      <c r="E18">
        <v>11</v>
      </c>
      <c r="F18" s="19" t="e">
        <f t="shared" si="1"/>
        <v>#REF!</v>
      </c>
    </row>
    <row r="19" spans="1:6" x14ac:dyDescent="0.2">
      <c r="A19">
        <v>12</v>
      </c>
      <c r="B19" s="19" t="e">
        <f t="shared" si="0"/>
        <v>#REF!</v>
      </c>
      <c r="D19" s="17" t="s">
        <v>84</v>
      </c>
      <c r="E19">
        <v>12</v>
      </c>
      <c r="F19" s="1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37"/>
  <sheetViews>
    <sheetView topLeftCell="E5" zoomScale="70" workbookViewId="0">
      <selection activeCell="J7" sqref="J7"/>
    </sheetView>
  </sheetViews>
  <sheetFormatPr defaultColWidth="9.140625" defaultRowHeight="70.5" customHeight="1" x14ac:dyDescent="0.3"/>
  <cols>
    <col min="1" max="1" width="6.28515625" style="29" customWidth="1"/>
    <col min="2" max="2" width="40.85546875" style="29" customWidth="1"/>
    <col min="3" max="3" width="35.140625" style="29" customWidth="1"/>
    <col min="4" max="4" width="40.42578125" style="29" customWidth="1"/>
    <col min="5" max="5" width="39" style="29" customWidth="1"/>
    <col min="6" max="6" width="43.140625" style="29" customWidth="1"/>
    <col min="7" max="7" width="42.85546875" style="29" customWidth="1"/>
    <col min="8" max="8" width="38.85546875" style="29" customWidth="1"/>
    <col min="9" max="9" width="29" style="29" customWidth="1"/>
    <col min="10" max="10" width="30.7109375" style="29" customWidth="1"/>
    <col min="11" max="11" width="5.5703125" style="29" customWidth="1"/>
    <col min="12" max="12" width="3.85546875" style="29" customWidth="1"/>
    <col min="13" max="13" width="9.140625" style="29"/>
    <col min="14" max="14" width="28.7109375" style="29" bestFit="1" customWidth="1"/>
    <col min="15" max="16384" width="9.140625" style="29"/>
  </cols>
  <sheetData>
    <row r="1" spans="1:14" ht="35.1" customHeight="1" x14ac:dyDescent="0.3">
      <c r="A1" s="86" t="s">
        <v>90</v>
      </c>
      <c r="B1" s="86"/>
      <c r="C1" s="86"/>
      <c r="D1" s="86"/>
      <c r="E1" s="86"/>
      <c r="F1" s="86"/>
      <c r="G1" s="86"/>
      <c r="H1" s="86"/>
    </row>
    <row r="2" spans="1:14" ht="35.1" customHeight="1" x14ac:dyDescent="0.3">
      <c r="A2" s="86" t="s">
        <v>91</v>
      </c>
      <c r="B2" s="86"/>
      <c r="C2" s="86"/>
      <c r="D2" s="86"/>
      <c r="E2" s="86"/>
      <c r="F2" s="86"/>
      <c r="G2" s="86"/>
      <c r="H2" s="86"/>
      <c r="I2" s="30"/>
      <c r="J2" s="30"/>
      <c r="M2" s="30"/>
      <c r="N2" s="30"/>
    </row>
    <row r="3" spans="1:14" ht="35.1" customHeight="1" x14ac:dyDescent="0.3">
      <c r="A3" s="90" t="s">
        <v>106</v>
      </c>
      <c r="B3" s="91"/>
      <c r="C3" s="91"/>
      <c r="D3" s="91"/>
      <c r="E3" s="91"/>
      <c r="F3" s="91"/>
      <c r="G3" s="91"/>
      <c r="H3" s="92"/>
      <c r="I3" s="30"/>
      <c r="J3" s="30"/>
      <c r="M3" s="30"/>
      <c r="N3" s="30"/>
    </row>
    <row r="4" spans="1:14" ht="35.1" customHeight="1" x14ac:dyDescent="0.3">
      <c r="A4" s="86" t="s">
        <v>21</v>
      </c>
      <c r="B4" s="86"/>
      <c r="C4" s="86"/>
      <c r="D4" s="86"/>
      <c r="E4" s="86"/>
      <c r="F4" s="86"/>
      <c r="G4" s="86"/>
      <c r="H4" s="86"/>
      <c r="I4" s="31"/>
      <c r="J4" s="31"/>
      <c r="K4" s="31"/>
      <c r="L4" s="31"/>
      <c r="M4" s="31"/>
    </row>
    <row r="5" spans="1:14" ht="77.25" customHeight="1" x14ac:dyDescent="0.3">
      <c r="A5" s="48" t="s">
        <v>0</v>
      </c>
      <c r="B5" s="48" t="s">
        <v>20</v>
      </c>
      <c r="C5" s="34" t="s">
        <v>14</v>
      </c>
      <c r="D5" s="33" t="s">
        <v>104</v>
      </c>
      <c r="E5" s="35" t="s">
        <v>33</v>
      </c>
      <c r="F5" s="35" t="s">
        <v>103</v>
      </c>
      <c r="G5" s="34" t="s">
        <v>25</v>
      </c>
      <c r="H5" s="34" t="s">
        <v>16</v>
      </c>
    </row>
    <row r="6" spans="1:14" ht="35.1" customHeight="1" x14ac:dyDescent="0.3">
      <c r="A6" s="34"/>
      <c r="B6" s="34"/>
      <c r="C6" s="46" t="s">
        <v>98</v>
      </c>
      <c r="D6" s="36" t="s">
        <v>98</v>
      </c>
      <c r="E6" s="46" t="s">
        <v>98</v>
      </c>
      <c r="F6" s="46" t="s">
        <v>98</v>
      </c>
      <c r="G6" s="46" t="s">
        <v>98</v>
      </c>
      <c r="H6" s="46" t="s">
        <v>98</v>
      </c>
    </row>
    <row r="7" spans="1:14" ht="35.1" customHeight="1" x14ac:dyDescent="0.3">
      <c r="A7" s="28">
        <v>1</v>
      </c>
      <c r="B7" s="28" t="s">
        <v>22</v>
      </c>
      <c r="C7" s="49">
        <v>236435835414.93039</v>
      </c>
      <c r="D7" s="51">
        <v>26340000000</v>
      </c>
      <c r="E7" s="50">
        <v>1334172519.04</v>
      </c>
      <c r="F7" s="50">
        <v>212091013.25</v>
      </c>
      <c r="G7" s="49">
        <v>24934164755.0625</v>
      </c>
      <c r="H7" s="37">
        <f>C7+D7+E7+F7+G7</f>
        <v>289256263702.2829</v>
      </c>
      <c r="J7" s="78"/>
    </row>
    <row r="8" spans="1:14" ht="35.1" customHeight="1" x14ac:dyDescent="0.3">
      <c r="A8" s="28">
        <v>2</v>
      </c>
      <c r="B8" s="28" t="s">
        <v>27</v>
      </c>
      <c r="C8" s="49">
        <v>119923415381.30099</v>
      </c>
      <c r="D8" s="51">
        <v>13360000000</v>
      </c>
      <c r="E8" s="49">
        <f>658475427.01+18234704.13</f>
        <v>676710131.13999999</v>
      </c>
      <c r="F8" s="49">
        <f>104676658.02+2898738.22</f>
        <v>107575396.23999999</v>
      </c>
      <c r="G8" s="49">
        <v>83113882516.875</v>
      </c>
      <c r="H8" s="37">
        <f t="shared" ref="H8:H18" si="0">C8+D8+E8+F8+G8</f>
        <v>217181583425.556</v>
      </c>
      <c r="J8" s="78"/>
    </row>
    <row r="9" spans="1:14" ht="35.1" customHeight="1" x14ac:dyDescent="0.3">
      <c r="A9" s="28">
        <v>3</v>
      </c>
      <c r="B9" s="28" t="s">
        <v>28</v>
      </c>
      <c r="C9" s="49">
        <v>92455926528.997101</v>
      </c>
      <c r="D9" s="52">
        <v>10300000000</v>
      </c>
      <c r="E9" s="49">
        <f>506519559.24+15195586.78</f>
        <v>521715146.01999998</v>
      </c>
      <c r="F9" s="49">
        <f>80520506.17+2415615.19</f>
        <v>82936121.359999999</v>
      </c>
      <c r="G9" s="49">
        <v>58179717761.8125</v>
      </c>
      <c r="H9" s="37">
        <f t="shared" si="0"/>
        <v>161540295558.18961</v>
      </c>
      <c r="J9" s="78"/>
      <c r="N9" s="78"/>
    </row>
    <row r="10" spans="1:14" ht="35.1" customHeight="1" x14ac:dyDescent="0.3">
      <c r="A10" s="28">
        <v>4</v>
      </c>
      <c r="B10" s="28" t="s">
        <v>17</v>
      </c>
      <c r="C10" s="49">
        <v>28687298885.3815</v>
      </c>
      <c r="D10" s="49">
        <v>0</v>
      </c>
      <c r="E10" s="49">
        <v>297403212.66000003</v>
      </c>
      <c r="F10" s="49">
        <v>0</v>
      </c>
      <c r="G10" s="49">
        <v>0</v>
      </c>
      <c r="H10" s="37">
        <f t="shared" si="0"/>
        <v>28984702098.0415</v>
      </c>
      <c r="J10" s="78"/>
      <c r="N10" s="42"/>
    </row>
    <row r="11" spans="1:14" ht="35.1" customHeight="1" x14ac:dyDescent="0.3">
      <c r="A11" s="28">
        <v>5</v>
      </c>
      <c r="B11" s="28" t="s">
        <v>34</v>
      </c>
      <c r="C11" s="49">
        <v>10621782157.860001</v>
      </c>
      <c r="D11" s="49">
        <v>0</v>
      </c>
      <c r="E11" s="49">
        <v>0</v>
      </c>
      <c r="F11" s="49">
        <v>0</v>
      </c>
      <c r="G11" s="49">
        <v>876592081.08000004</v>
      </c>
      <c r="H11" s="37">
        <f t="shared" si="0"/>
        <v>11498374238.940001</v>
      </c>
      <c r="J11" s="42"/>
    </row>
    <row r="12" spans="1:14" ht="35.1" customHeight="1" x14ac:dyDescent="0.3">
      <c r="A12" s="28">
        <v>6</v>
      </c>
      <c r="B12" s="27" t="s">
        <v>99</v>
      </c>
      <c r="C12" s="49">
        <v>6455317085.4399996</v>
      </c>
      <c r="D12" s="49">
        <v>0</v>
      </c>
      <c r="E12" s="49">
        <v>0</v>
      </c>
      <c r="F12" s="49">
        <v>0</v>
      </c>
      <c r="G12" s="49">
        <v>6236775832.7399998</v>
      </c>
      <c r="H12" s="37">
        <f t="shared" si="0"/>
        <v>12692092918.18</v>
      </c>
      <c r="J12" s="78"/>
    </row>
    <row r="13" spans="1:14" ht="35.1" customHeight="1" x14ac:dyDescent="0.3">
      <c r="A13" s="28">
        <v>7</v>
      </c>
      <c r="B13" s="27" t="s">
        <v>101</v>
      </c>
      <c r="C13" s="49">
        <v>5045682946.7200003</v>
      </c>
      <c r="D13" s="49">
        <v>0</v>
      </c>
      <c r="E13" s="49">
        <v>0</v>
      </c>
      <c r="F13" s="49">
        <v>0</v>
      </c>
      <c r="G13" s="49">
        <v>0</v>
      </c>
      <c r="H13" s="37">
        <f t="shared" si="0"/>
        <v>5045682946.7200003</v>
      </c>
      <c r="J13" s="44"/>
    </row>
    <row r="14" spans="1:14" ht="42.75" customHeight="1" x14ac:dyDescent="0.3">
      <c r="A14" s="28">
        <v>8</v>
      </c>
      <c r="B14" s="27" t="s">
        <v>93</v>
      </c>
      <c r="C14" s="49">
        <v>100000000</v>
      </c>
      <c r="D14" s="49">
        <v>0</v>
      </c>
      <c r="E14" s="49">
        <v>0</v>
      </c>
      <c r="F14" s="49">
        <v>0</v>
      </c>
      <c r="G14" s="49">
        <v>0</v>
      </c>
      <c r="H14" s="37">
        <f t="shared" si="0"/>
        <v>100000000</v>
      </c>
      <c r="J14" s="44"/>
    </row>
    <row r="15" spans="1:14" ht="35.1" customHeight="1" x14ac:dyDescent="0.3">
      <c r="A15" s="28">
        <v>9</v>
      </c>
      <c r="B15" s="27" t="s">
        <v>95</v>
      </c>
      <c r="C15" s="49">
        <v>2703750448.4000001</v>
      </c>
      <c r="D15" s="49"/>
      <c r="E15" s="49">
        <v>0</v>
      </c>
      <c r="F15" s="49">
        <v>0</v>
      </c>
      <c r="G15" s="49">
        <v>0</v>
      </c>
      <c r="H15" s="37">
        <f t="shared" si="0"/>
        <v>2703750448.4000001</v>
      </c>
      <c r="J15" s="44"/>
    </row>
    <row r="16" spans="1:14" ht="49.5" customHeight="1" x14ac:dyDescent="0.3">
      <c r="A16" s="28">
        <v>10</v>
      </c>
      <c r="B16" s="27" t="s">
        <v>96</v>
      </c>
      <c r="C16" s="37">
        <v>23920441326.360001</v>
      </c>
      <c r="D16" s="49">
        <v>0</v>
      </c>
      <c r="E16" s="49">
        <v>0</v>
      </c>
      <c r="F16" s="49">
        <v>0</v>
      </c>
      <c r="G16" s="49">
        <v>0</v>
      </c>
      <c r="H16" s="37">
        <f t="shared" si="0"/>
        <v>23920441326.360001</v>
      </c>
      <c r="J16" s="44"/>
    </row>
    <row r="17" spans="1:14" ht="65.25" customHeight="1" x14ac:dyDescent="0.3">
      <c r="A17" s="28">
        <v>11</v>
      </c>
      <c r="B17" s="27" t="s">
        <v>102</v>
      </c>
      <c r="C17" s="37">
        <v>11168035964.950001</v>
      </c>
      <c r="D17" s="37"/>
      <c r="E17" s="49">
        <v>0</v>
      </c>
      <c r="F17" s="49">
        <v>0</v>
      </c>
      <c r="G17" s="49">
        <v>0</v>
      </c>
      <c r="H17" s="37">
        <f t="shared" si="0"/>
        <v>11168035964.950001</v>
      </c>
    </row>
    <row r="18" spans="1:14" ht="41.25" customHeight="1" x14ac:dyDescent="0.3">
      <c r="A18" s="28">
        <v>12</v>
      </c>
      <c r="B18" s="27" t="s">
        <v>94</v>
      </c>
      <c r="C18" s="37">
        <v>0</v>
      </c>
      <c r="D18" s="37"/>
      <c r="E18" s="49">
        <v>0</v>
      </c>
      <c r="F18" s="49">
        <v>0</v>
      </c>
      <c r="G18" s="49">
        <v>5141064897.9499998</v>
      </c>
      <c r="H18" s="37">
        <f t="shared" si="0"/>
        <v>5141064897.9499998</v>
      </c>
    </row>
    <row r="19" spans="1:14" ht="35.1" customHeight="1" x14ac:dyDescent="0.3">
      <c r="A19" s="28"/>
      <c r="B19" s="35" t="s">
        <v>100</v>
      </c>
      <c r="C19" s="37">
        <f>SUM(C7:C18)</f>
        <v>537517486140.33997</v>
      </c>
      <c r="D19" s="37">
        <f t="shared" ref="D19:H19" si="1">SUM(D7:D18)</f>
        <v>50000000000</v>
      </c>
      <c r="E19" s="37">
        <f>SUM(E7:E18)</f>
        <v>2830001008.8599997</v>
      </c>
      <c r="F19" s="37">
        <f t="shared" si="1"/>
        <v>402602530.85000002</v>
      </c>
      <c r="G19" s="37">
        <f>SUM(G7:G18)</f>
        <v>178482197845.51999</v>
      </c>
      <c r="H19" s="37">
        <f t="shared" si="1"/>
        <v>769232287525.56982</v>
      </c>
      <c r="I19" s="44"/>
    </row>
    <row r="20" spans="1:14" ht="70.5" customHeight="1" x14ac:dyDescent="0.3">
      <c r="A20" s="88"/>
      <c r="B20" s="88"/>
      <c r="C20" s="88"/>
      <c r="D20" s="88"/>
      <c r="E20" s="88"/>
      <c r="F20" s="88"/>
      <c r="G20" s="88"/>
      <c r="H20" s="88"/>
    </row>
    <row r="21" spans="1:14" ht="70.5" customHeight="1" x14ac:dyDescent="0.35">
      <c r="A21" s="93" t="s">
        <v>107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4" ht="70.5" customHeight="1" x14ac:dyDescent="0.3">
      <c r="A22" s="34">
        <v>0</v>
      </c>
      <c r="B22" s="34">
        <v>1</v>
      </c>
      <c r="C22" s="34">
        <v>2</v>
      </c>
      <c r="D22" s="34">
        <v>3</v>
      </c>
      <c r="E22" s="34" t="s">
        <v>108</v>
      </c>
      <c r="F22" s="32">
        <v>5</v>
      </c>
      <c r="G22" s="34">
        <v>5</v>
      </c>
      <c r="H22" s="32">
        <v>7</v>
      </c>
      <c r="I22" s="47">
        <v>8</v>
      </c>
      <c r="J22" s="47" t="s">
        <v>109</v>
      </c>
    </row>
    <row r="23" spans="1:14" ht="70.5" customHeight="1" x14ac:dyDescent="0.3">
      <c r="A23" s="35" t="s">
        <v>0</v>
      </c>
      <c r="B23" s="35" t="s">
        <v>20</v>
      </c>
      <c r="C23" s="38" t="s">
        <v>7</v>
      </c>
      <c r="D23" s="35" t="s">
        <v>105</v>
      </c>
      <c r="E23" s="35" t="s">
        <v>12</v>
      </c>
      <c r="F23" s="33" t="s">
        <v>104</v>
      </c>
      <c r="G23" s="35" t="s">
        <v>33</v>
      </c>
      <c r="H23" s="33" t="s">
        <v>103</v>
      </c>
      <c r="I23" s="35" t="s">
        <v>25</v>
      </c>
      <c r="J23" s="35" t="s">
        <v>13</v>
      </c>
    </row>
    <row r="24" spans="1:14" ht="70.5" customHeight="1" x14ac:dyDescent="0.3">
      <c r="A24" s="28"/>
      <c r="B24" s="28"/>
      <c r="C24" s="46" t="s">
        <v>98</v>
      </c>
      <c r="D24" s="46" t="s">
        <v>98</v>
      </c>
      <c r="E24" s="46" t="s">
        <v>98</v>
      </c>
      <c r="F24" s="46" t="s">
        <v>98</v>
      </c>
      <c r="G24" s="46" t="s">
        <v>98</v>
      </c>
      <c r="H24" s="53" t="s">
        <v>98</v>
      </c>
      <c r="I24" s="53" t="s">
        <v>98</v>
      </c>
      <c r="J24" s="46" t="s">
        <v>98</v>
      </c>
    </row>
    <row r="25" spans="1:14" ht="70.5" customHeight="1" x14ac:dyDescent="0.3">
      <c r="A25" s="28">
        <v>1</v>
      </c>
      <c r="B25" s="39" t="s">
        <v>18</v>
      </c>
      <c r="C25" s="40">
        <v>217675361002.73581</v>
      </c>
      <c r="D25" s="40">
        <v>-61273657790.849998</v>
      </c>
      <c r="E25" s="40">
        <f>C25+D25</f>
        <v>156401703211.8858</v>
      </c>
      <c r="F25" s="54">
        <v>24250000000</v>
      </c>
      <c r="G25" s="40">
        <v>1228309931.1577001</v>
      </c>
      <c r="H25" s="54">
        <v>195262227.45739999</v>
      </c>
      <c r="I25" s="41">
        <v>23271887104.724998</v>
      </c>
      <c r="J25" s="79">
        <f>E25+F25+G25+H25+I25</f>
        <v>205347162475.22592</v>
      </c>
    </row>
    <row r="26" spans="1:14" ht="70.5" customHeight="1" x14ac:dyDescent="0.3">
      <c r="A26" s="28">
        <v>2</v>
      </c>
      <c r="B26" s="39" t="s">
        <v>19</v>
      </c>
      <c r="C26" s="40">
        <v>4488151773.2523003</v>
      </c>
      <c r="D26" s="40">
        <v>0</v>
      </c>
      <c r="E26" s="40">
        <f t="shared" ref="E26:E29" si="2">C26+D26</f>
        <v>4488151773.2523003</v>
      </c>
      <c r="F26" s="54">
        <v>500000000</v>
      </c>
      <c r="G26" s="40">
        <v>25325977.962000001</v>
      </c>
      <c r="H26" s="41">
        <v>4026025.3084</v>
      </c>
      <c r="I26" s="41">
        <v>0</v>
      </c>
      <c r="J26" s="79">
        <f t="shared" ref="J26:J29" si="3">E26+F26+G26+H26+I26</f>
        <v>5017503776.5227003</v>
      </c>
    </row>
    <row r="27" spans="1:14" ht="70.5" customHeight="1" x14ac:dyDescent="0.3">
      <c r="A27" s="28">
        <v>3</v>
      </c>
      <c r="B27" s="39" t="s">
        <v>4</v>
      </c>
      <c r="C27" s="40">
        <v>2244075886.6261001</v>
      </c>
      <c r="D27" s="40">
        <v>0</v>
      </c>
      <c r="E27" s="40">
        <f t="shared" si="2"/>
        <v>2244075886.6261001</v>
      </c>
      <c r="F27" s="54">
        <v>250000000</v>
      </c>
      <c r="G27" s="54">
        <v>12662988.981000001</v>
      </c>
      <c r="H27" s="54">
        <v>2013012.65</v>
      </c>
      <c r="I27" s="41">
        <v>0</v>
      </c>
      <c r="J27" s="79">
        <f t="shared" si="3"/>
        <v>2508751888.2571001</v>
      </c>
    </row>
    <row r="28" spans="1:14" ht="70.5" customHeight="1" x14ac:dyDescent="0.3">
      <c r="A28" s="28">
        <v>4</v>
      </c>
      <c r="B28" s="27" t="s">
        <v>5</v>
      </c>
      <c r="C28" s="40">
        <v>7540094979.0637999</v>
      </c>
      <c r="D28" s="40">
        <v>0</v>
      </c>
      <c r="E28" s="40">
        <f t="shared" si="2"/>
        <v>7540094979.0637999</v>
      </c>
      <c r="F28" s="54">
        <v>840000000</v>
      </c>
      <c r="G28" s="40">
        <v>42547642.976199999</v>
      </c>
      <c r="H28" s="41">
        <v>6763722.5181</v>
      </c>
      <c r="I28" s="41">
        <v>0</v>
      </c>
      <c r="J28" s="79">
        <f t="shared" si="3"/>
        <v>8429406344.5580997</v>
      </c>
    </row>
    <row r="29" spans="1:14" ht="70.5" customHeight="1" thickBot="1" x14ac:dyDescent="0.35">
      <c r="A29" s="28">
        <v>5</v>
      </c>
      <c r="B29" s="28" t="s">
        <v>6</v>
      </c>
      <c r="C29" s="40">
        <v>4488151773.2523003</v>
      </c>
      <c r="D29" s="40">
        <v>-112156719</v>
      </c>
      <c r="E29" s="40">
        <f t="shared" si="2"/>
        <v>4375995054.2523003</v>
      </c>
      <c r="F29" s="54">
        <v>500000000</v>
      </c>
      <c r="G29" s="40">
        <v>25325977.962000001</v>
      </c>
      <c r="H29" s="41">
        <v>4026025.3084</v>
      </c>
      <c r="I29" s="41">
        <v>1662277650.3375001</v>
      </c>
      <c r="J29" s="79">
        <f t="shared" si="3"/>
        <v>6567624707.8602009</v>
      </c>
    </row>
    <row r="30" spans="1:14" ht="70.5" customHeight="1" thickTop="1" thickBot="1" x14ac:dyDescent="0.35">
      <c r="A30" s="28"/>
      <c r="B30" s="32" t="s">
        <v>16</v>
      </c>
      <c r="C30" s="43">
        <f>SUM(C25:C29)</f>
        <v>236435835414.9303</v>
      </c>
      <c r="D30" s="43">
        <f t="shared" ref="D30:J30" si="4">SUM(D25:D29)</f>
        <v>-61385814509.849998</v>
      </c>
      <c r="E30" s="43">
        <f t="shared" si="4"/>
        <v>175050020905.08029</v>
      </c>
      <c r="F30" s="43">
        <f t="shared" si="4"/>
        <v>26340000000</v>
      </c>
      <c r="G30" s="43">
        <f t="shared" si="4"/>
        <v>1334172519.0388999</v>
      </c>
      <c r="H30" s="43">
        <f t="shared" si="4"/>
        <v>212091013.2423</v>
      </c>
      <c r="I30" s="43">
        <f t="shared" si="4"/>
        <v>24934164755.0625</v>
      </c>
      <c r="J30" s="43">
        <f t="shared" si="4"/>
        <v>227870449192.42404</v>
      </c>
      <c r="N30" s="42"/>
    </row>
    <row r="31" spans="1:14" ht="70.5" customHeight="1" thickTop="1" x14ac:dyDescent="0.3">
      <c r="D31" s="42"/>
      <c r="E31" s="42"/>
      <c r="F31" s="55"/>
      <c r="G31" s="55"/>
      <c r="H31" s="44"/>
    </row>
    <row r="32" spans="1:14" ht="70.5" customHeight="1" x14ac:dyDescent="0.3">
      <c r="A32" s="45" t="s">
        <v>97</v>
      </c>
      <c r="E32" s="42"/>
      <c r="F32" s="42"/>
    </row>
    <row r="33" spans="1:8" ht="70.5" customHeight="1" x14ac:dyDescent="0.3">
      <c r="A33" s="87" t="s">
        <v>92</v>
      </c>
      <c r="B33" s="87"/>
      <c r="C33" s="87"/>
      <c r="D33" s="87"/>
      <c r="E33" s="87"/>
      <c r="F33" s="87"/>
      <c r="G33" s="87"/>
      <c r="H33" s="87"/>
    </row>
    <row r="34" spans="1:8" ht="70.5" customHeight="1" x14ac:dyDescent="0.3">
      <c r="C34" s="89" t="s">
        <v>29</v>
      </c>
      <c r="D34" s="89"/>
      <c r="E34" s="89"/>
      <c r="F34" s="89"/>
      <c r="G34" s="89"/>
    </row>
    <row r="35" spans="1:8" ht="60" customHeight="1" x14ac:dyDescent="0.4">
      <c r="C35" s="84" t="s">
        <v>133</v>
      </c>
      <c r="D35" s="84"/>
      <c r="E35" s="84"/>
      <c r="F35" s="84"/>
      <c r="G35" s="84"/>
      <c r="H35" s="84"/>
    </row>
    <row r="36" spans="1:8" ht="60" customHeight="1" x14ac:dyDescent="0.45">
      <c r="C36" s="85" t="s">
        <v>134</v>
      </c>
      <c r="D36" s="85"/>
      <c r="E36" s="85"/>
      <c r="F36" s="85"/>
      <c r="G36" s="85"/>
      <c r="H36" s="85"/>
    </row>
    <row r="37" spans="1:8" ht="60" customHeight="1" x14ac:dyDescent="0.45">
      <c r="C37" s="85" t="s">
        <v>31</v>
      </c>
      <c r="D37" s="85"/>
      <c r="E37" s="85"/>
      <c r="F37" s="85"/>
      <c r="G37" s="85"/>
      <c r="H37" s="85"/>
    </row>
  </sheetData>
  <mergeCells count="11">
    <mergeCell ref="C35:H35"/>
    <mergeCell ref="C36:H36"/>
    <mergeCell ref="C37:H37"/>
    <mergeCell ref="A1:H1"/>
    <mergeCell ref="A33:H33"/>
    <mergeCell ref="A2:H2"/>
    <mergeCell ref="A20:H20"/>
    <mergeCell ref="C34:G34"/>
    <mergeCell ref="A4:H4"/>
    <mergeCell ref="A3:H3"/>
    <mergeCell ref="A21:J21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54"/>
  <sheetViews>
    <sheetView zoomScale="80" zoomScaleNormal="80" workbookViewId="0">
      <pane xSplit="3" ySplit="8" topLeftCell="L42" activePane="bottomRight" state="frozen"/>
      <selection pane="topRight" activeCell="D1" sqref="D1"/>
      <selection pane="bottomLeft" activeCell="A10" sqref="A10"/>
      <selection pane="bottomRight" activeCell="R47" sqref="R47"/>
    </sheetView>
  </sheetViews>
  <sheetFormatPr defaultRowHeight="12.75" x14ac:dyDescent="0.2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0" width="19.5703125" customWidth="1"/>
    <col min="11" max="14" width="21" customWidth="1"/>
    <col min="15" max="15" width="22" bestFit="1" customWidth="1"/>
    <col min="16" max="17" width="22" customWidth="1"/>
    <col min="18" max="18" width="24.140625" bestFit="1" customWidth="1"/>
    <col min="19" max="19" width="20.140625" bestFit="1" customWidth="1"/>
    <col min="20" max="20" width="4.28515625" bestFit="1" customWidth="1"/>
  </cols>
  <sheetData>
    <row r="1" spans="1:20" ht="26.25" x14ac:dyDescent="0.4">
      <c r="A1" s="94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0"/>
    </row>
    <row r="2" spans="1:20" ht="26.25" x14ac:dyDescent="0.4">
      <c r="A2" s="94" t="s">
        <v>91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20"/>
    </row>
    <row r="3" spans="1:20" ht="26.25" x14ac:dyDescent="0.4">
      <c r="A3" s="94" t="s">
        <v>135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20"/>
    </row>
    <row r="4" spans="1:20" ht="18" customHeight="1" x14ac:dyDescent="0.25">
      <c r="H4" s="9" t="s">
        <v>23</v>
      </c>
    </row>
    <row r="5" spans="1:20" x14ac:dyDescent="0.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 t="s">
        <v>8</v>
      </c>
      <c r="G5" s="26">
        <v>7</v>
      </c>
      <c r="H5" s="26">
        <v>8</v>
      </c>
      <c r="I5" s="26">
        <v>9</v>
      </c>
      <c r="J5" s="26" t="s">
        <v>9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 t="s">
        <v>114</v>
      </c>
      <c r="S5" s="26" t="s">
        <v>115</v>
      </c>
      <c r="T5" s="1"/>
    </row>
    <row r="6" spans="1:20" ht="12.75" customHeight="1" x14ac:dyDescent="0.2">
      <c r="A6" s="21" t="s">
        <v>0</v>
      </c>
      <c r="B6" s="21" t="s">
        <v>20</v>
      </c>
      <c r="C6" s="21" t="s">
        <v>1</v>
      </c>
      <c r="D6" s="21" t="s">
        <v>7</v>
      </c>
      <c r="E6" s="21" t="s">
        <v>32</v>
      </c>
      <c r="F6" s="21" t="s">
        <v>2</v>
      </c>
      <c r="G6" s="23" t="s">
        <v>24</v>
      </c>
      <c r="H6" s="24"/>
      <c r="I6" s="25"/>
      <c r="J6" s="21" t="s">
        <v>12</v>
      </c>
      <c r="K6" s="95" t="s">
        <v>104</v>
      </c>
      <c r="L6" s="99" t="s">
        <v>110</v>
      </c>
      <c r="M6" s="99" t="s">
        <v>103</v>
      </c>
      <c r="N6" s="99" t="s">
        <v>111</v>
      </c>
      <c r="O6" s="97" t="s">
        <v>71</v>
      </c>
      <c r="P6" s="97" t="s">
        <v>112</v>
      </c>
      <c r="Q6" s="97" t="s">
        <v>113</v>
      </c>
      <c r="R6" s="97" t="s">
        <v>26</v>
      </c>
      <c r="S6" s="97" t="s">
        <v>13</v>
      </c>
      <c r="T6" s="21" t="s">
        <v>0</v>
      </c>
    </row>
    <row r="7" spans="1:20" ht="44.25" customHeight="1" x14ac:dyDescent="0.2">
      <c r="A7" s="22"/>
      <c r="B7" s="22"/>
      <c r="C7" s="22"/>
      <c r="D7" s="22"/>
      <c r="E7" s="22"/>
      <c r="F7" s="22"/>
      <c r="G7" s="2" t="s">
        <v>3</v>
      </c>
      <c r="H7" s="2" t="s">
        <v>11</v>
      </c>
      <c r="I7" s="2" t="s">
        <v>89</v>
      </c>
      <c r="J7" s="22"/>
      <c r="K7" s="96"/>
      <c r="L7" s="100"/>
      <c r="M7" s="100"/>
      <c r="N7" s="100"/>
      <c r="O7" s="98"/>
      <c r="P7" s="98"/>
      <c r="Q7" s="98"/>
      <c r="R7" s="98"/>
      <c r="S7" s="98"/>
      <c r="T7" s="22"/>
    </row>
    <row r="8" spans="1:20" ht="16.5" x14ac:dyDescent="0.25">
      <c r="A8" s="1"/>
      <c r="B8" s="1"/>
      <c r="C8" s="1"/>
      <c r="D8" s="56" t="s">
        <v>98</v>
      </c>
      <c r="E8" s="56" t="s">
        <v>98</v>
      </c>
      <c r="F8" s="56" t="s">
        <v>98</v>
      </c>
      <c r="G8" s="56" t="s">
        <v>98</v>
      </c>
      <c r="H8" s="56" t="s">
        <v>98</v>
      </c>
      <c r="I8" s="56" t="s">
        <v>98</v>
      </c>
      <c r="J8" s="56" t="s">
        <v>98</v>
      </c>
      <c r="K8" s="56" t="s">
        <v>98</v>
      </c>
      <c r="L8" s="56" t="s">
        <v>98</v>
      </c>
      <c r="M8" s="56" t="s">
        <v>98</v>
      </c>
      <c r="N8" s="56" t="s">
        <v>98</v>
      </c>
      <c r="O8" s="56" t="s">
        <v>98</v>
      </c>
      <c r="P8" s="56" t="s">
        <v>98</v>
      </c>
      <c r="Q8" s="56" t="s">
        <v>98</v>
      </c>
      <c r="R8" s="56" t="s">
        <v>98</v>
      </c>
      <c r="S8" s="56" t="s">
        <v>98</v>
      </c>
      <c r="T8" s="1"/>
    </row>
    <row r="9" spans="1:20" ht="18" customHeight="1" x14ac:dyDescent="0.2">
      <c r="A9" s="1">
        <v>1</v>
      </c>
      <c r="B9" s="13" t="s">
        <v>35</v>
      </c>
      <c r="C9" s="12">
        <v>17</v>
      </c>
      <c r="D9" s="3">
        <v>2881513346.9004998</v>
      </c>
      <c r="E9" s="3">
        <v>328453228.67640001</v>
      </c>
      <c r="F9" s="4">
        <f>D9+E9</f>
        <v>3209966575.5769</v>
      </c>
      <c r="G9" s="5">
        <v>90495551.450000003</v>
      </c>
      <c r="H9" s="5">
        <v>0</v>
      </c>
      <c r="I9" s="3">
        <v>772210537.83959997</v>
      </c>
      <c r="J9" s="6">
        <f>F9-G9-H9-I9</f>
        <v>2347260486.2873001</v>
      </c>
      <c r="K9" s="4">
        <v>321013358.33530003</v>
      </c>
      <c r="L9" s="4">
        <v>19800072.2075</v>
      </c>
      <c r="M9" s="4">
        <v>2584815.81</v>
      </c>
      <c r="N9" s="4">
        <v>44603605.045749992</v>
      </c>
      <c r="O9" s="6">
        <v>1686223559.2834001</v>
      </c>
      <c r="P9" s="8">
        <v>0</v>
      </c>
      <c r="Q9" s="8">
        <f>O9-P9</f>
        <v>1686223559.2834001</v>
      </c>
      <c r="R9" s="8">
        <f>F9+K9+L9+M9+N9+O9</f>
        <v>5284191986.2588501</v>
      </c>
      <c r="S9" s="7">
        <f t="shared" ref="S9:S44" si="0">J9+K9+L9+M9+N9+Q9</f>
        <v>4421485896.9692497</v>
      </c>
      <c r="T9" s="1">
        <v>1</v>
      </c>
    </row>
    <row r="10" spans="1:20" ht="18" customHeight="1" x14ac:dyDescent="0.2">
      <c r="A10" s="1">
        <v>2</v>
      </c>
      <c r="B10" s="13" t="s">
        <v>36</v>
      </c>
      <c r="C10" s="10">
        <v>21</v>
      </c>
      <c r="D10" s="3">
        <v>3065434677.6715002</v>
      </c>
      <c r="E10" s="3">
        <v>0</v>
      </c>
      <c r="F10" s="4">
        <f t="shared" ref="F10:F44" si="1">D10+E10</f>
        <v>3065434677.6715002</v>
      </c>
      <c r="G10" s="5">
        <v>102331326.8</v>
      </c>
      <c r="H10" s="5">
        <v>0</v>
      </c>
      <c r="I10" s="3">
        <v>507052461.17110002</v>
      </c>
      <c r="J10" s="6">
        <f t="shared" ref="J10:J44" si="2">F10-G10-H10-I10</f>
        <v>2456050889.7003999</v>
      </c>
      <c r="K10" s="4">
        <v>341503009.76230001</v>
      </c>
      <c r="L10" s="4">
        <v>17297795.397500001</v>
      </c>
      <c r="M10" s="4">
        <v>2749799.5203999998</v>
      </c>
      <c r="N10" s="4">
        <v>94901130.895800009</v>
      </c>
      <c r="O10" s="6">
        <v>1861897796.9052999</v>
      </c>
      <c r="P10" s="8">
        <v>0</v>
      </c>
      <c r="Q10" s="8">
        <f t="shared" ref="Q10:Q46" si="3">O10-P10</f>
        <v>1861897796.9052999</v>
      </c>
      <c r="R10" s="8">
        <f t="shared" ref="R10:R46" si="4">F10+K10+L10+M10+N10+O10</f>
        <v>5383784210.1528006</v>
      </c>
      <c r="S10" s="7">
        <f t="shared" si="0"/>
        <v>4774400422.1816998</v>
      </c>
      <c r="T10" s="1">
        <v>2</v>
      </c>
    </row>
    <row r="11" spans="1:20" ht="18" customHeight="1" x14ac:dyDescent="0.2">
      <c r="A11" s="1">
        <v>3</v>
      </c>
      <c r="B11" s="13" t="s">
        <v>37</v>
      </c>
      <c r="C11" s="10">
        <v>31</v>
      </c>
      <c r="D11" s="3">
        <v>3093921521.2217002</v>
      </c>
      <c r="E11" s="3">
        <v>6547008248.7069998</v>
      </c>
      <c r="F11" s="4">
        <f t="shared" si="1"/>
        <v>9640929769.9286995</v>
      </c>
      <c r="G11" s="5">
        <v>80009252.760000005</v>
      </c>
      <c r="H11" s="5">
        <v>0</v>
      </c>
      <c r="I11" s="3">
        <v>1238941094.7556</v>
      </c>
      <c r="J11" s="6">
        <f t="shared" si="2"/>
        <v>8321979422.4130993</v>
      </c>
      <c r="K11" s="4">
        <v>344676570.39359999</v>
      </c>
      <c r="L11" s="4">
        <v>86784686.510600001</v>
      </c>
      <c r="M11" s="4">
        <v>2775353.1913000001</v>
      </c>
      <c r="N11" s="4">
        <v>47891519.823550001</v>
      </c>
      <c r="O11" s="6">
        <v>2060512620.4487</v>
      </c>
      <c r="P11" s="8">
        <v>0</v>
      </c>
      <c r="Q11" s="8">
        <f t="shared" si="3"/>
        <v>2060512620.4487</v>
      </c>
      <c r="R11" s="8">
        <f t="shared" si="4"/>
        <v>12183570520.296448</v>
      </c>
      <c r="S11" s="7">
        <f t="shared" si="0"/>
        <v>10864620172.780848</v>
      </c>
      <c r="T11" s="1">
        <v>3</v>
      </c>
    </row>
    <row r="12" spans="1:20" ht="18" customHeight="1" x14ac:dyDescent="0.2">
      <c r="A12" s="1">
        <v>4</v>
      </c>
      <c r="B12" s="13" t="s">
        <v>38</v>
      </c>
      <c r="C12" s="10">
        <v>21</v>
      </c>
      <c r="D12" s="3">
        <v>3059691946.6932001</v>
      </c>
      <c r="E12" s="3">
        <v>0</v>
      </c>
      <c r="F12" s="4">
        <f t="shared" si="1"/>
        <v>3059691946.6932001</v>
      </c>
      <c r="G12" s="5">
        <v>86007208.379999995</v>
      </c>
      <c r="H12" s="5">
        <v>0</v>
      </c>
      <c r="I12" s="3">
        <v>433530578.23830003</v>
      </c>
      <c r="J12" s="6">
        <f t="shared" si="2"/>
        <v>2540154160.0749002</v>
      </c>
      <c r="K12" s="4">
        <v>340863244.0783</v>
      </c>
      <c r="L12" s="4">
        <v>17265390.017200001</v>
      </c>
      <c r="M12" s="4">
        <v>2744648.0948000001</v>
      </c>
      <c r="N12" s="4">
        <v>94723344.799799994</v>
      </c>
      <c r="O12" s="6">
        <v>2069195094.8405001</v>
      </c>
      <c r="P12" s="8">
        <v>0</v>
      </c>
      <c r="Q12" s="8">
        <f t="shared" si="3"/>
        <v>2069195094.8405001</v>
      </c>
      <c r="R12" s="8">
        <f t="shared" si="4"/>
        <v>5584483668.5237999</v>
      </c>
      <c r="S12" s="7">
        <f t="shared" si="0"/>
        <v>5064945881.9055004</v>
      </c>
      <c r="T12" s="1">
        <v>4</v>
      </c>
    </row>
    <row r="13" spans="1:20" ht="18" customHeight="1" x14ac:dyDescent="0.2">
      <c r="A13" s="1">
        <v>5</v>
      </c>
      <c r="B13" s="13" t="s">
        <v>39</v>
      </c>
      <c r="C13" s="10">
        <v>20</v>
      </c>
      <c r="D13" s="3">
        <v>3680911923.5771999</v>
      </c>
      <c r="E13" s="3">
        <v>0</v>
      </c>
      <c r="F13" s="4">
        <f t="shared" si="1"/>
        <v>3680911923.5771999</v>
      </c>
      <c r="G13" s="5">
        <v>222151610.31</v>
      </c>
      <c r="H13" s="5">
        <v>201255000</v>
      </c>
      <c r="I13" s="3">
        <v>909176529.45239997</v>
      </c>
      <c r="J13" s="6">
        <f t="shared" si="2"/>
        <v>2348328783.8148003</v>
      </c>
      <c r="K13" s="4">
        <v>410069902.88459998</v>
      </c>
      <c r="L13" s="4">
        <v>20770842.644500002</v>
      </c>
      <c r="M13" s="4">
        <v>3301903.6143999998</v>
      </c>
      <c r="N13" s="4">
        <v>113955357.39840001</v>
      </c>
      <c r="O13" s="6">
        <v>2083234678.9614</v>
      </c>
      <c r="P13" s="8">
        <v>0</v>
      </c>
      <c r="Q13" s="8">
        <f t="shared" si="3"/>
        <v>2083234678.9614</v>
      </c>
      <c r="R13" s="8">
        <f t="shared" si="4"/>
        <v>6312244609.0804996</v>
      </c>
      <c r="S13" s="7">
        <f t="shared" si="0"/>
        <v>4979661469.3181</v>
      </c>
      <c r="T13" s="1">
        <v>5</v>
      </c>
    </row>
    <row r="14" spans="1:20" ht="18" customHeight="1" x14ac:dyDescent="0.2">
      <c r="A14" s="1">
        <v>6</v>
      </c>
      <c r="B14" s="13" t="s">
        <v>40</v>
      </c>
      <c r="C14" s="10">
        <v>8</v>
      </c>
      <c r="D14" s="3">
        <v>2722828589.5851002</v>
      </c>
      <c r="E14" s="3">
        <v>5114745534.6019001</v>
      </c>
      <c r="F14" s="4">
        <f t="shared" si="1"/>
        <v>7837574124.1870003</v>
      </c>
      <c r="G14" s="5">
        <v>172604749.97</v>
      </c>
      <c r="H14" s="5">
        <v>0</v>
      </c>
      <c r="I14" s="3">
        <v>2391738893.5317001</v>
      </c>
      <c r="J14" s="6">
        <f t="shared" si="2"/>
        <v>5273230480.6852999</v>
      </c>
      <c r="K14" s="4">
        <v>303335173.04519999</v>
      </c>
      <c r="L14" s="4">
        <v>67009457.899599999</v>
      </c>
      <c r="M14" s="4">
        <v>2442470.1672</v>
      </c>
      <c r="N14" s="4">
        <v>42147287.343950003</v>
      </c>
      <c r="O14" s="6">
        <v>1609110773.2193</v>
      </c>
      <c r="P14" s="8">
        <v>0</v>
      </c>
      <c r="Q14" s="8">
        <f t="shared" si="3"/>
        <v>1609110773.2193</v>
      </c>
      <c r="R14" s="8">
        <f t="shared" si="4"/>
        <v>9861619285.8622513</v>
      </c>
      <c r="S14" s="7">
        <f t="shared" si="0"/>
        <v>7297275642.3605509</v>
      </c>
      <c r="T14" s="1">
        <v>6</v>
      </c>
    </row>
    <row r="15" spans="1:20" ht="18" customHeight="1" x14ac:dyDescent="0.2">
      <c r="A15" s="1">
        <v>7</v>
      </c>
      <c r="B15" s="13" t="s">
        <v>41</v>
      </c>
      <c r="C15" s="10">
        <v>23</v>
      </c>
      <c r="D15" s="3">
        <v>3451092877.3439002</v>
      </c>
      <c r="E15" s="3">
        <v>0</v>
      </c>
      <c r="F15" s="4">
        <f t="shared" si="1"/>
        <v>3451092877.3439002</v>
      </c>
      <c r="G15" s="5">
        <v>55414264.829999998</v>
      </c>
      <c r="H15" s="5">
        <v>103855987.23</v>
      </c>
      <c r="I15" s="3">
        <v>1062114540.0809</v>
      </c>
      <c r="J15" s="6">
        <f t="shared" si="2"/>
        <v>2229708085.2030001</v>
      </c>
      <c r="K15" s="4">
        <v>384467042.52640003</v>
      </c>
      <c r="L15" s="4">
        <v>19474007.696899999</v>
      </c>
      <c r="M15" s="4">
        <v>3095748.0869</v>
      </c>
      <c r="N15" s="4">
        <v>53420257.047499999</v>
      </c>
      <c r="O15" s="6">
        <v>1966646045.7155001</v>
      </c>
      <c r="P15" s="8">
        <v>0</v>
      </c>
      <c r="Q15" s="8">
        <f t="shared" si="3"/>
        <v>1966646045.7155001</v>
      </c>
      <c r="R15" s="8">
        <f t="shared" si="4"/>
        <v>5878195978.4171009</v>
      </c>
      <c r="S15" s="7">
        <f t="shared" si="0"/>
        <v>4656811186.2762003</v>
      </c>
      <c r="T15" s="1">
        <v>7</v>
      </c>
    </row>
    <row r="16" spans="1:20" ht="18" customHeight="1" x14ac:dyDescent="0.2">
      <c r="A16" s="1">
        <v>8</v>
      </c>
      <c r="B16" s="13" t="s">
        <v>42</v>
      </c>
      <c r="C16" s="10">
        <v>27</v>
      </c>
      <c r="D16" s="3">
        <v>3823316318.1185999</v>
      </c>
      <c r="E16" s="3">
        <v>0</v>
      </c>
      <c r="F16" s="4">
        <f t="shared" si="1"/>
        <v>3823316318.1185999</v>
      </c>
      <c r="G16" s="5">
        <v>38682179.93</v>
      </c>
      <c r="H16" s="5">
        <v>0</v>
      </c>
      <c r="I16" s="3">
        <v>550688853.91760004</v>
      </c>
      <c r="J16" s="6">
        <f t="shared" si="2"/>
        <v>3233945284.2709999</v>
      </c>
      <c r="K16" s="4">
        <v>425934383.60350001</v>
      </c>
      <c r="L16" s="4">
        <v>21574409.620499998</v>
      </c>
      <c r="M16" s="4">
        <v>3429645.2162000001</v>
      </c>
      <c r="N16" s="4">
        <v>118363977.87400001</v>
      </c>
      <c r="O16" s="6">
        <v>2005441005.1419001</v>
      </c>
      <c r="P16" s="8">
        <v>0</v>
      </c>
      <c r="Q16" s="8">
        <f t="shared" si="3"/>
        <v>2005441005.1419001</v>
      </c>
      <c r="R16" s="8">
        <f t="shared" si="4"/>
        <v>6398059739.5746994</v>
      </c>
      <c r="S16" s="7">
        <f t="shared" si="0"/>
        <v>5808688705.7271004</v>
      </c>
      <c r="T16" s="1">
        <v>8</v>
      </c>
    </row>
    <row r="17" spans="1:20" ht="18" customHeight="1" x14ac:dyDescent="0.2">
      <c r="A17" s="1">
        <v>9</v>
      </c>
      <c r="B17" s="13" t="s">
        <v>43</v>
      </c>
      <c r="C17" s="10">
        <v>18</v>
      </c>
      <c r="D17" s="3">
        <v>3094449162.8281002</v>
      </c>
      <c r="E17" s="3">
        <v>0</v>
      </c>
      <c r="F17" s="4">
        <f t="shared" si="1"/>
        <v>3094449162.8281002</v>
      </c>
      <c r="G17" s="5">
        <v>337825536.31</v>
      </c>
      <c r="H17" s="5">
        <v>633134951.91999996</v>
      </c>
      <c r="I17" s="3">
        <v>817474859.64250004</v>
      </c>
      <c r="J17" s="6">
        <f t="shared" si="2"/>
        <v>1306013814.9556003</v>
      </c>
      <c r="K17" s="4">
        <v>344735352.0072</v>
      </c>
      <c r="L17" s="4">
        <v>17461519.859300002</v>
      </c>
      <c r="M17" s="4">
        <v>2775826.5038000001</v>
      </c>
      <c r="N17" s="4">
        <v>47899687.308849998</v>
      </c>
      <c r="O17" s="6">
        <v>1705715639.3624001</v>
      </c>
      <c r="P17" s="8">
        <v>0</v>
      </c>
      <c r="Q17" s="8">
        <f t="shared" si="3"/>
        <v>1705715639.3624001</v>
      </c>
      <c r="R17" s="8">
        <f t="shared" si="4"/>
        <v>5213037187.8696499</v>
      </c>
      <c r="S17" s="7">
        <f t="shared" si="0"/>
        <v>3424601839.9971504</v>
      </c>
      <c r="T17" s="1">
        <v>9</v>
      </c>
    </row>
    <row r="18" spans="1:20" ht="18" customHeight="1" x14ac:dyDescent="0.2">
      <c r="A18" s="1">
        <v>10</v>
      </c>
      <c r="B18" s="13" t="s">
        <v>44</v>
      </c>
      <c r="C18" s="10">
        <v>25</v>
      </c>
      <c r="D18" s="3">
        <v>3124530208.5305996</v>
      </c>
      <c r="E18" s="3">
        <v>9485323657.427</v>
      </c>
      <c r="F18" s="4">
        <f t="shared" si="1"/>
        <v>12609853865.9576</v>
      </c>
      <c r="G18" s="5">
        <v>57727995.840000004</v>
      </c>
      <c r="H18" s="5">
        <v>0</v>
      </c>
      <c r="I18" s="3">
        <v>1576549136.4309001</v>
      </c>
      <c r="J18" s="6">
        <f t="shared" si="2"/>
        <v>10975576733.686699</v>
      </c>
      <c r="K18" s="4">
        <v>348086513.82420003</v>
      </c>
      <c r="L18" s="4">
        <v>117278177.3767</v>
      </c>
      <c r="M18" s="4">
        <v>2802810.2283999999</v>
      </c>
      <c r="N18" s="4">
        <v>48365318.704700001</v>
      </c>
      <c r="O18" s="6">
        <v>2105037668.4717</v>
      </c>
      <c r="P18" s="8">
        <v>0</v>
      </c>
      <c r="Q18" s="8">
        <f t="shared" si="3"/>
        <v>2105037668.4717</v>
      </c>
      <c r="R18" s="8">
        <f t="shared" si="4"/>
        <v>15231424354.563299</v>
      </c>
      <c r="S18" s="7">
        <f t="shared" si="0"/>
        <v>13597147222.292398</v>
      </c>
      <c r="T18" s="1">
        <v>10</v>
      </c>
    </row>
    <row r="19" spans="1:20" ht="18" customHeight="1" x14ac:dyDescent="0.2">
      <c r="A19" s="1">
        <v>11</v>
      </c>
      <c r="B19" s="13" t="s">
        <v>45</v>
      </c>
      <c r="C19" s="10">
        <v>13</v>
      </c>
      <c r="D19" s="3">
        <v>2753060373.0253997</v>
      </c>
      <c r="E19" s="3">
        <v>0</v>
      </c>
      <c r="F19" s="4">
        <f t="shared" si="1"/>
        <v>2753060373.0253997</v>
      </c>
      <c r="G19" s="5">
        <v>85077064.760000005</v>
      </c>
      <c r="H19" s="5">
        <v>0</v>
      </c>
      <c r="I19" s="3">
        <v>463479623.02170002</v>
      </c>
      <c r="J19" s="6">
        <f t="shared" si="2"/>
        <v>2204503685.2436996</v>
      </c>
      <c r="K19" s="4">
        <v>306703127.71420002</v>
      </c>
      <c r="L19" s="4">
        <v>15535113.3024</v>
      </c>
      <c r="M19" s="4">
        <v>2469589.1087000002</v>
      </c>
      <c r="N19" s="4">
        <v>85230504.087300003</v>
      </c>
      <c r="O19" s="6">
        <v>1659373896.6371</v>
      </c>
      <c r="P19" s="8">
        <v>0</v>
      </c>
      <c r="Q19" s="8">
        <f t="shared" si="3"/>
        <v>1659373896.6371</v>
      </c>
      <c r="R19" s="8">
        <f t="shared" si="4"/>
        <v>4822372603.8750992</v>
      </c>
      <c r="S19" s="7">
        <f t="shared" si="0"/>
        <v>4273815916.093399</v>
      </c>
      <c r="T19" s="1">
        <v>11</v>
      </c>
    </row>
    <row r="20" spans="1:20" ht="18" customHeight="1" x14ac:dyDescent="0.2">
      <c r="A20" s="1">
        <v>12</v>
      </c>
      <c r="B20" s="13" t="s">
        <v>46</v>
      </c>
      <c r="C20" s="10">
        <v>18</v>
      </c>
      <c r="D20" s="3">
        <v>2877389321.1747003</v>
      </c>
      <c r="E20" s="3">
        <v>923989140.21899998</v>
      </c>
      <c r="F20" s="4">
        <f t="shared" si="1"/>
        <v>3801378461.3937001</v>
      </c>
      <c r="G20" s="5">
        <v>144369361.52000001</v>
      </c>
      <c r="H20" s="5">
        <v>0</v>
      </c>
      <c r="I20" s="3">
        <v>749222504.96150005</v>
      </c>
      <c r="J20" s="6">
        <f t="shared" si="2"/>
        <v>2907786594.9122</v>
      </c>
      <c r="K20" s="4">
        <v>320553923.59079999</v>
      </c>
      <c r="L20" s="4">
        <v>25370801.022599999</v>
      </c>
      <c r="M20" s="4">
        <v>2581116.4182000002</v>
      </c>
      <c r="N20" s="4">
        <v>44539768.307000004</v>
      </c>
      <c r="O20" s="6">
        <v>1983987465.5901999</v>
      </c>
      <c r="P20" s="8">
        <v>0</v>
      </c>
      <c r="Q20" s="8">
        <f t="shared" si="3"/>
        <v>1983987465.5901999</v>
      </c>
      <c r="R20" s="8">
        <f t="shared" si="4"/>
        <v>6178411536.3225002</v>
      </c>
      <c r="S20" s="7">
        <f t="shared" si="0"/>
        <v>5284819669.8409996</v>
      </c>
      <c r="T20" s="1">
        <v>12</v>
      </c>
    </row>
    <row r="21" spans="1:20" ht="18" customHeight="1" x14ac:dyDescent="0.2">
      <c r="A21" s="1">
        <v>13</v>
      </c>
      <c r="B21" s="13" t="s">
        <v>47</v>
      </c>
      <c r="C21" s="10">
        <v>16</v>
      </c>
      <c r="D21" s="3">
        <v>2751506837.1009998</v>
      </c>
      <c r="E21" s="3">
        <v>0</v>
      </c>
      <c r="F21" s="4">
        <f t="shared" si="1"/>
        <v>2751506837.1009998</v>
      </c>
      <c r="G21" s="5">
        <v>186251942.97999999</v>
      </c>
      <c r="H21" s="5">
        <v>491490204.30000001</v>
      </c>
      <c r="I21" s="3">
        <v>663015543.35020006</v>
      </c>
      <c r="J21" s="6">
        <f t="shared" si="2"/>
        <v>1410749146.4707999</v>
      </c>
      <c r="K21" s="4">
        <v>306530056.92659998</v>
      </c>
      <c r="L21" s="4">
        <v>15526346.933400001</v>
      </c>
      <c r="M21" s="4">
        <v>2468195.5339000002</v>
      </c>
      <c r="N21" s="4">
        <v>85182409.010700002</v>
      </c>
      <c r="O21" s="6">
        <v>1610497949.0043001</v>
      </c>
      <c r="P21" s="8">
        <v>0</v>
      </c>
      <c r="Q21" s="8">
        <f t="shared" si="3"/>
        <v>1610497949.0043001</v>
      </c>
      <c r="R21" s="8">
        <f t="shared" si="4"/>
        <v>4771711794.5099001</v>
      </c>
      <c r="S21" s="7">
        <f t="shared" si="0"/>
        <v>3430954103.8796997</v>
      </c>
      <c r="T21" s="1">
        <v>13</v>
      </c>
    </row>
    <row r="22" spans="1:20" ht="18" customHeight="1" x14ac:dyDescent="0.2">
      <c r="A22" s="1">
        <v>14</v>
      </c>
      <c r="B22" s="13" t="s">
        <v>48</v>
      </c>
      <c r="C22" s="10">
        <v>17</v>
      </c>
      <c r="D22" s="3">
        <v>3094716234.6838002</v>
      </c>
      <c r="E22" s="3">
        <v>0</v>
      </c>
      <c r="F22" s="4">
        <f t="shared" si="1"/>
        <v>3094716234.6838002</v>
      </c>
      <c r="G22" s="5">
        <v>134272278.47</v>
      </c>
      <c r="H22" s="5">
        <v>0</v>
      </c>
      <c r="I22" s="3">
        <v>372261104.77939999</v>
      </c>
      <c r="J22" s="6">
        <f t="shared" si="2"/>
        <v>2588182851.4344006</v>
      </c>
      <c r="K22" s="4">
        <v>344765104.9957</v>
      </c>
      <c r="L22" s="4">
        <v>17463026.905700002</v>
      </c>
      <c r="M22" s="4">
        <v>2776066.0762999998</v>
      </c>
      <c r="N22" s="4">
        <v>95807642.75060001</v>
      </c>
      <c r="O22" s="6">
        <v>1869267443.3910999</v>
      </c>
      <c r="P22" s="8">
        <v>0</v>
      </c>
      <c r="Q22" s="8">
        <f t="shared" si="3"/>
        <v>1869267443.3910999</v>
      </c>
      <c r="R22" s="8">
        <f t="shared" si="4"/>
        <v>5424795518.8031998</v>
      </c>
      <c r="S22" s="7">
        <f t="shared" si="0"/>
        <v>4918262135.5538006</v>
      </c>
      <c r="T22" s="1">
        <v>14</v>
      </c>
    </row>
    <row r="23" spans="1:20" ht="18" customHeight="1" x14ac:dyDescent="0.2">
      <c r="A23" s="1">
        <v>15</v>
      </c>
      <c r="B23" s="13" t="s">
        <v>49</v>
      </c>
      <c r="C23" s="10">
        <v>11</v>
      </c>
      <c r="D23" s="3">
        <v>2898541633.7097001</v>
      </c>
      <c r="E23" s="3">
        <v>0</v>
      </c>
      <c r="F23" s="4">
        <f t="shared" si="1"/>
        <v>2898541633.7097001</v>
      </c>
      <c r="G23" s="5">
        <v>88010682.840000004</v>
      </c>
      <c r="H23" s="5">
        <v>526362473.37</v>
      </c>
      <c r="I23" s="3">
        <v>327196070.83469999</v>
      </c>
      <c r="J23" s="6">
        <f t="shared" si="2"/>
        <v>1956972406.665</v>
      </c>
      <c r="K23" s="4">
        <v>322910384.95890003</v>
      </c>
      <c r="L23" s="4">
        <v>16356042.586099999</v>
      </c>
      <c r="M23" s="4">
        <v>2600090.7644000002</v>
      </c>
      <c r="N23" s="4">
        <v>89734379.594399989</v>
      </c>
      <c r="O23" s="6">
        <v>1676048380.6960001</v>
      </c>
      <c r="P23" s="8">
        <v>0</v>
      </c>
      <c r="Q23" s="8">
        <f t="shared" si="3"/>
        <v>1676048380.6960001</v>
      </c>
      <c r="R23" s="8">
        <f t="shared" si="4"/>
        <v>5006190912.3094997</v>
      </c>
      <c r="S23" s="7">
        <f t="shared" si="0"/>
        <v>4064621685.2648001</v>
      </c>
      <c r="T23" s="1">
        <v>15</v>
      </c>
    </row>
    <row r="24" spans="1:20" ht="18" customHeight="1" x14ac:dyDescent="0.2">
      <c r="A24" s="1">
        <v>16</v>
      </c>
      <c r="B24" s="13" t="s">
        <v>50</v>
      </c>
      <c r="C24" s="10">
        <v>27</v>
      </c>
      <c r="D24" s="3">
        <v>3199480954.6399002</v>
      </c>
      <c r="E24" s="3">
        <v>737086228.3017</v>
      </c>
      <c r="F24" s="4">
        <f t="shared" si="1"/>
        <v>3936567182.9416003</v>
      </c>
      <c r="G24" s="5">
        <v>133288659.45999999</v>
      </c>
      <c r="H24" s="5">
        <v>0</v>
      </c>
      <c r="I24" s="3">
        <v>1091857237.6975999</v>
      </c>
      <c r="J24" s="6">
        <f t="shared" si="2"/>
        <v>2711421285.7840004</v>
      </c>
      <c r="K24" s="4">
        <v>356436359.13870001</v>
      </c>
      <c r="L24" s="4">
        <v>25924135.502999999</v>
      </c>
      <c r="M24" s="4">
        <v>2870043.6055000001</v>
      </c>
      <c r="N24" s="4">
        <v>49525498.469599999</v>
      </c>
      <c r="O24" s="6">
        <v>1874492352.9152</v>
      </c>
      <c r="P24" s="8">
        <v>0</v>
      </c>
      <c r="Q24" s="8">
        <f t="shared" si="3"/>
        <v>1874492352.9152</v>
      </c>
      <c r="R24" s="8">
        <f t="shared" si="4"/>
        <v>6245815572.5736008</v>
      </c>
      <c r="S24" s="7">
        <f t="shared" si="0"/>
        <v>5020669675.4160004</v>
      </c>
      <c r="T24" s="1">
        <v>16</v>
      </c>
    </row>
    <row r="25" spans="1:20" ht="18" customHeight="1" x14ac:dyDescent="0.2">
      <c r="A25" s="1">
        <v>17</v>
      </c>
      <c r="B25" s="13" t="s">
        <v>51</v>
      </c>
      <c r="C25" s="10">
        <v>27</v>
      </c>
      <c r="D25" s="3">
        <v>3441338564.0363998</v>
      </c>
      <c r="E25" s="3">
        <v>0</v>
      </c>
      <c r="F25" s="4">
        <f t="shared" si="1"/>
        <v>3441338564.0363998</v>
      </c>
      <c r="G25" s="5">
        <v>53213368.039999999</v>
      </c>
      <c r="H25" s="5">
        <v>0</v>
      </c>
      <c r="I25" s="3">
        <v>330148458.49669999</v>
      </c>
      <c r="J25" s="6">
        <f t="shared" si="2"/>
        <v>3057976737.4997001</v>
      </c>
      <c r="K25" s="4">
        <v>383380368.79080003</v>
      </c>
      <c r="L25" s="4">
        <v>19418965.541200001</v>
      </c>
      <c r="M25" s="4">
        <v>3086998.1349999998</v>
      </c>
      <c r="N25" s="4">
        <v>106538535.59539999</v>
      </c>
      <c r="O25" s="6">
        <v>2012560918.9072001</v>
      </c>
      <c r="P25" s="8">
        <v>0</v>
      </c>
      <c r="Q25" s="8">
        <f t="shared" si="3"/>
        <v>2012560918.9072001</v>
      </c>
      <c r="R25" s="8">
        <f t="shared" si="4"/>
        <v>5966324351.0060005</v>
      </c>
      <c r="S25" s="7">
        <f t="shared" si="0"/>
        <v>5582962524.4693003</v>
      </c>
      <c r="T25" s="1">
        <v>17</v>
      </c>
    </row>
    <row r="26" spans="1:20" ht="18" customHeight="1" x14ac:dyDescent="0.2">
      <c r="A26" s="1">
        <v>18</v>
      </c>
      <c r="B26" s="13" t="s">
        <v>52</v>
      </c>
      <c r="C26" s="10">
        <v>23</v>
      </c>
      <c r="D26" s="3">
        <v>4031928391.3762002</v>
      </c>
      <c r="E26" s="3">
        <v>0</v>
      </c>
      <c r="F26" s="4">
        <f t="shared" si="1"/>
        <v>4031928391.3762002</v>
      </c>
      <c r="G26" s="5">
        <v>687279853.72000003</v>
      </c>
      <c r="H26" s="5">
        <v>0</v>
      </c>
      <c r="I26" s="3">
        <v>372108738.48710001</v>
      </c>
      <c r="J26" s="6">
        <f t="shared" si="2"/>
        <v>2972539799.1691003</v>
      </c>
      <c r="K26" s="4">
        <v>449174693.17830002</v>
      </c>
      <c r="L26" s="4">
        <v>22751576.765700001</v>
      </c>
      <c r="M26" s="4">
        <v>3616777.3651999999</v>
      </c>
      <c r="N26" s="4">
        <v>124822285.99439999</v>
      </c>
      <c r="O26" s="6">
        <v>2628193302.3708</v>
      </c>
      <c r="P26" s="8">
        <v>0</v>
      </c>
      <c r="Q26" s="8">
        <f t="shared" si="3"/>
        <v>2628193302.3708</v>
      </c>
      <c r="R26" s="8">
        <f t="shared" si="4"/>
        <v>7260487027.050601</v>
      </c>
      <c r="S26" s="7">
        <f t="shared" si="0"/>
        <v>6201098434.8435001</v>
      </c>
      <c r="T26" s="1">
        <v>18</v>
      </c>
    </row>
    <row r="27" spans="1:20" ht="18" customHeight="1" x14ac:dyDescent="0.2">
      <c r="A27" s="1">
        <v>19</v>
      </c>
      <c r="B27" s="13" t="s">
        <v>53</v>
      </c>
      <c r="C27" s="10">
        <v>44</v>
      </c>
      <c r="D27" s="3">
        <v>4881098191.8566008</v>
      </c>
      <c r="E27" s="3">
        <v>0</v>
      </c>
      <c r="F27" s="4">
        <f t="shared" si="1"/>
        <v>4881098191.8566008</v>
      </c>
      <c r="G27" s="5">
        <v>124682148.02</v>
      </c>
      <c r="H27" s="5">
        <v>292615190</v>
      </c>
      <c r="I27" s="3">
        <v>977085321.35070002</v>
      </c>
      <c r="J27" s="6">
        <f t="shared" si="2"/>
        <v>3486715532.4859004</v>
      </c>
      <c r="K27" s="4">
        <v>543775972.65600002</v>
      </c>
      <c r="L27" s="4">
        <v>27543316.601800002</v>
      </c>
      <c r="M27" s="4">
        <v>4378511.6559999995</v>
      </c>
      <c r="N27" s="4">
        <v>151111273.646</v>
      </c>
      <c r="O27" s="6">
        <v>3411654479.2867999</v>
      </c>
      <c r="P27" s="8">
        <v>0</v>
      </c>
      <c r="Q27" s="8">
        <f t="shared" si="3"/>
        <v>3411654479.2867999</v>
      </c>
      <c r="R27" s="8">
        <f t="shared" si="4"/>
        <v>9019561745.7032013</v>
      </c>
      <c r="S27" s="7">
        <f t="shared" si="0"/>
        <v>7625179086.3325005</v>
      </c>
      <c r="T27" s="1">
        <v>19</v>
      </c>
    </row>
    <row r="28" spans="1:20" ht="18" customHeight="1" x14ac:dyDescent="0.2">
      <c r="A28" s="1">
        <v>20</v>
      </c>
      <c r="B28" s="13" t="s">
        <v>54</v>
      </c>
      <c r="C28" s="10">
        <v>34</v>
      </c>
      <c r="D28" s="3">
        <v>3782712182.8635001</v>
      </c>
      <c r="E28" s="3">
        <v>0</v>
      </c>
      <c r="F28" s="4">
        <f t="shared" si="1"/>
        <v>3782712182.8635001</v>
      </c>
      <c r="G28" s="5">
        <v>176028006.62</v>
      </c>
      <c r="H28" s="5">
        <v>850000000</v>
      </c>
      <c r="I28" s="3">
        <v>414616568.67640001</v>
      </c>
      <c r="J28" s="6">
        <f t="shared" si="2"/>
        <v>2342067607.5671</v>
      </c>
      <c r="K28" s="4">
        <v>421410902.9698</v>
      </c>
      <c r="L28" s="4">
        <v>21345286.478999998</v>
      </c>
      <c r="M28" s="4">
        <v>3393221.9211999997</v>
      </c>
      <c r="N28" s="4">
        <v>117106936.4557</v>
      </c>
      <c r="O28" s="6">
        <v>2455042490.5049</v>
      </c>
      <c r="P28" s="8">
        <v>0</v>
      </c>
      <c r="Q28" s="8">
        <f t="shared" si="3"/>
        <v>2455042490.5049</v>
      </c>
      <c r="R28" s="8">
        <f t="shared" si="4"/>
        <v>6801011021.1941004</v>
      </c>
      <c r="S28" s="7">
        <f t="shared" si="0"/>
        <v>5360366445.8976994</v>
      </c>
      <c r="T28" s="1">
        <v>20</v>
      </c>
    </row>
    <row r="29" spans="1:20" ht="18" customHeight="1" x14ac:dyDescent="0.2">
      <c r="A29" s="1">
        <v>21</v>
      </c>
      <c r="B29" s="13" t="s">
        <v>55</v>
      </c>
      <c r="C29" s="10">
        <v>21</v>
      </c>
      <c r="D29" s="3">
        <v>3249368637.2212</v>
      </c>
      <c r="E29" s="3">
        <v>0</v>
      </c>
      <c r="F29" s="4">
        <f t="shared" si="1"/>
        <v>3249368637.2212</v>
      </c>
      <c r="G29" s="5">
        <v>82333068.079999998</v>
      </c>
      <c r="H29" s="5">
        <v>0</v>
      </c>
      <c r="I29" s="3">
        <v>357302739.45039999</v>
      </c>
      <c r="J29" s="6">
        <f t="shared" si="2"/>
        <v>2809732829.6908002</v>
      </c>
      <c r="K29" s="4">
        <v>361994068.09119999</v>
      </c>
      <c r="L29" s="4">
        <v>18335707.583799999</v>
      </c>
      <c r="M29" s="4">
        <v>2914794.5592</v>
      </c>
      <c r="N29" s="4">
        <v>50297721.33405</v>
      </c>
      <c r="O29" s="6">
        <v>1767590490.1045001</v>
      </c>
      <c r="P29" s="8">
        <v>0</v>
      </c>
      <c r="Q29" s="8">
        <f t="shared" si="3"/>
        <v>1767590490.1045001</v>
      </c>
      <c r="R29" s="8">
        <f t="shared" si="4"/>
        <v>5450501418.8939495</v>
      </c>
      <c r="S29" s="7">
        <f t="shared" si="0"/>
        <v>5010865611.3635502</v>
      </c>
      <c r="T29" s="1">
        <v>21</v>
      </c>
    </row>
    <row r="30" spans="1:20" ht="18" customHeight="1" x14ac:dyDescent="0.2">
      <c r="A30" s="1">
        <v>22</v>
      </c>
      <c r="B30" s="13" t="s">
        <v>56</v>
      </c>
      <c r="C30" s="10">
        <v>21</v>
      </c>
      <c r="D30" s="3">
        <v>3401108009.9551001</v>
      </c>
      <c r="E30" s="3">
        <v>0</v>
      </c>
      <c r="F30" s="4">
        <f t="shared" si="1"/>
        <v>3401108009.9551001</v>
      </c>
      <c r="G30" s="5">
        <v>61368712.32</v>
      </c>
      <c r="H30" s="5">
        <v>267593824.09999999</v>
      </c>
      <c r="I30" s="3">
        <v>740823115.15779996</v>
      </c>
      <c r="J30" s="6">
        <f t="shared" si="2"/>
        <v>2331322358.3773003</v>
      </c>
      <c r="K30" s="4">
        <v>378898506.75559998</v>
      </c>
      <c r="L30" s="4">
        <v>19191950.4626</v>
      </c>
      <c r="M30" s="4">
        <v>3050909.9550000001</v>
      </c>
      <c r="N30" s="4">
        <v>52646529.837150007</v>
      </c>
      <c r="O30" s="6">
        <v>1792835347.0931001</v>
      </c>
      <c r="P30" s="8">
        <v>0</v>
      </c>
      <c r="Q30" s="8">
        <f t="shared" si="3"/>
        <v>1792835347.0931001</v>
      </c>
      <c r="R30" s="8">
        <f t="shared" si="4"/>
        <v>5647731254.0585499</v>
      </c>
      <c r="S30" s="7">
        <f t="shared" si="0"/>
        <v>4577945602.480751</v>
      </c>
      <c r="T30" s="1">
        <v>22</v>
      </c>
    </row>
    <row r="31" spans="1:20" ht="18" customHeight="1" x14ac:dyDescent="0.2">
      <c r="A31" s="1">
        <v>23</v>
      </c>
      <c r="B31" s="13" t="s">
        <v>57</v>
      </c>
      <c r="C31" s="10">
        <v>16</v>
      </c>
      <c r="D31" s="3">
        <v>2739239556.2466998</v>
      </c>
      <c r="E31" s="3">
        <v>0</v>
      </c>
      <c r="F31" s="4">
        <f t="shared" si="1"/>
        <v>2739239556.2466998</v>
      </c>
      <c r="G31" s="5">
        <v>80347486.099999994</v>
      </c>
      <c r="H31" s="5">
        <v>632203900</v>
      </c>
      <c r="I31" s="3">
        <v>540001600.62609994</v>
      </c>
      <c r="J31" s="6">
        <f t="shared" si="2"/>
        <v>1486686569.5205998</v>
      </c>
      <c r="K31" s="4">
        <v>305163427.46819997</v>
      </c>
      <c r="L31" s="4">
        <v>15457124.473099999</v>
      </c>
      <c r="M31" s="4">
        <v>2457191.3643999998</v>
      </c>
      <c r="N31" s="4">
        <v>42401316.455299996</v>
      </c>
      <c r="O31" s="6">
        <v>1647426239.2428</v>
      </c>
      <c r="P31" s="8">
        <v>0</v>
      </c>
      <c r="Q31" s="8">
        <f t="shared" si="3"/>
        <v>1647426239.2428</v>
      </c>
      <c r="R31" s="8">
        <f t="shared" si="4"/>
        <v>4752144855.2504997</v>
      </c>
      <c r="S31" s="7">
        <f t="shared" si="0"/>
        <v>3499591868.5243998</v>
      </c>
      <c r="T31" s="1">
        <v>23</v>
      </c>
    </row>
    <row r="32" spans="1:20" ht="18" customHeight="1" x14ac:dyDescent="0.2">
      <c r="A32" s="1">
        <v>24</v>
      </c>
      <c r="B32" s="13" t="s">
        <v>58</v>
      </c>
      <c r="C32" s="10">
        <v>20</v>
      </c>
      <c r="D32" s="3">
        <v>4122404074.1143999</v>
      </c>
      <c r="E32" s="3">
        <v>0</v>
      </c>
      <c r="F32" s="4">
        <f t="shared" si="1"/>
        <v>4122404074.1143999</v>
      </c>
      <c r="G32" s="5">
        <v>2729185836.0300002</v>
      </c>
      <c r="H32" s="5">
        <v>2000000000</v>
      </c>
      <c r="I32" s="3">
        <v>14241191.161</v>
      </c>
      <c r="J32" s="6">
        <f t="shared" si="2"/>
        <v>-621022953.07660031</v>
      </c>
      <c r="K32" s="4">
        <v>459254085.24309999</v>
      </c>
      <c r="L32" s="4">
        <v>23262117.6796</v>
      </c>
      <c r="M32" s="4">
        <v>3697937.1403999999</v>
      </c>
      <c r="N32" s="4">
        <v>127623273.6234</v>
      </c>
      <c r="O32" s="6">
        <v>12714811705.006201</v>
      </c>
      <c r="P32" s="8">
        <v>1000000000</v>
      </c>
      <c r="Q32" s="8">
        <f t="shared" si="3"/>
        <v>11714811705.006201</v>
      </c>
      <c r="R32" s="8">
        <f t="shared" si="4"/>
        <v>17451053192.807098</v>
      </c>
      <c r="S32" s="7">
        <f t="shared" si="0"/>
        <v>11707626165.6161</v>
      </c>
      <c r="T32" s="1">
        <v>24</v>
      </c>
    </row>
    <row r="33" spans="1:20" ht="18" customHeight="1" x14ac:dyDescent="0.2">
      <c r="A33" s="1">
        <v>25</v>
      </c>
      <c r="B33" s="13" t="s">
        <v>59</v>
      </c>
      <c r="C33" s="10">
        <v>13</v>
      </c>
      <c r="D33" s="3">
        <v>2837858066.2256002</v>
      </c>
      <c r="E33" s="3">
        <v>0</v>
      </c>
      <c r="F33" s="4">
        <f t="shared" si="1"/>
        <v>2837858066.2256002</v>
      </c>
      <c r="G33" s="5">
        <v>73078018</v>
      </c>
      <c r="H33" s="5">
        <v>124722672.83</v>
      </c>
      <c r="I33" s="3">
        <v>289257905.09850001</v>
      </c>
      <c r="J33" s="6">
        <f t="shared" si="2"/>
        <v>2350799470.2971001</v>
      </c>
      <c r="K33" s="4">
        <v>316149966.57850003</v>
      </c>
      <c r="L33" s="4">
        <v>16013614.169199999</v>
      </c>
      <c r="M33" s="4">
        <v>2545655.5334000001</v>
      </c>
      <c r="N33" s="4">
        <v>87855709.9155</v>
      </c>
      <c r="O33" s="6">
        <v>1521430953.6135001</v>
      </c>
      <c r="P33" s="8">
        <v>0</v>
      </c>
      <c r="Q33" s="8">
        <f t="shared" si="3"/>
        <v>1521430953.6135001</v>
      </c>
      <c r="R33" s="8">
        <f t="shared" si="4"/>
        <v>4781853966.0356998</v>
      </c>
      <c r="S33" s="7">
        <f t="shared" si="0"/>
        <v>4294795370.1072001</v>
      </c>
      <c r="T33" s="1">
        <v>25</v>
      </c>
    </row>
    <row r="34" spans="1:20" ht="18" customHeight="1" x14ac:dyDescent="0.2">
      <c r="A34" s="1">
        <v>26</v>
      </c>
      <c r="B34" s="13" t="s">
        <v>60</v>
      </c>
      <c r="C34" s="10">
        <v>25</v>
      </c>
      <c r="D34" s="3">
        <v>3645102333.2263999</v>
      </c>
      <c r="E34" s="3">
        <v>0</v>
      </c>
      <c r="F34" s="4">
        <f t="shared" si="1"/>
        <v>3645102333.2263999</v>
      </c>
      <c r="G34" s="5">
        <v>48924779.93</v>
      </c>
      <c r="H34" s="5">
        <v>217827441</v>
      </c>
      <c r="I34" s="3">
        <v>450209379.97579998</v>
      </c>
      <c r="J34" s="6">
        <f t="shared" si="2"/>
        <v>2928140732.3206</v>
      </c>
      <c r="K34" s="4">
        <v>406080555.80360001</v>
      </c>
      <c r="L34" s="4">
        <v>20568774.4102</v>
      </c>
      <c r="M34" s="4">
        <v>3269781.1898000003</v>
      </c>
      <c r="N34" s="4">
        <v>56423373.848749995</v>
      </c>
      <c r="O34" s="6">
        <v>2009819802.6147001</v>
      </c>
      <c r="P34" s="8">
        <v>0</v>
      </c>
      <c r="Q34" s="8">
        <f t="shared" si="3"/>
        <v>2009819802.6147001</v>
      </c>
      <c r="R34" s="8">
        <f t="shared" si="4"/>
        <v>6141264621.0934496</v>
      </c>
      <c r="S34" s="7">
        <f t="shared" si="0"/>
        <v>5424303020.1876497</v>
      </c>
      <c r="T34" s="1">
        <v>26</v>
      </c>
    </row>
    <row r="35" spans="1:20" ht="18" customHeight="1" x14ac:dyDescent="0.2">
      <c r="A35" s="1">
        <v>27</v>
      </c>
      <c r="B35" s="13" t="s">
        <v>61</v>
      </c>
      <c r="C35" s="10">
        <v>20</v>
      </c>
      <c r="D35" s="3">
        <v>2858934843.0908003</v>
      </c>
      <c r="E35" s="3">
        <v>0</v>
      </c>
      <c r="F35" s="4">
        <f t="shared" si="1"/>
        <v>2858934843.0908003</v>
      </c>
      <c r="G35" s="5">
        <v>158669498.15000001</v>
      </c>
      <c r="H35" s="5">
        <v>0</v>
      </c>
      <c r="I35" s="3">
        <v>1298353748.3812001</v>
      </c>
      <c r="J35" s="6">
        <f t="shared" si="2"/>
        <v>1401911596.5596001</v>
      </c>
      <c r="K35" s="4">
        <v>318498012.93810004</v>
      </c>
      <c r="L35" s="4">
        <v>16132547.3159</v>
      </c>
      <c r="M35" s="4">
        <v>2564562.1214999999</v>
      </c>
      <c r="N35" s="4">
        <v>88508214.428300008</v>
      </c>
      <c r="O35" s="6">
        <v>2007849660.7741001</v>
      </c>
      <c r="P35" s="8">
        <v>0</v>
      </c>
      <c r="Q35" s="8">
        <f t="shared" si="3"/>
        <v>2007849660.7741001</v>
      </c>
      <c r="R35" s="8">
        <f t="shared" si="4"/>
        <v>5292487840.6687002</v>
      </c>
      <c r="S35" s="7">
        <f t="shared" si="0"/>
        <v>3835464594.1375003</v>
      </c>
      <c r="T35" s="1">
        <v>27</v>
      </c>
    </row>
    <row r="36" spans="1:20" ht="18" customHeight="1" x14ac:dyDescent="0.2">
      <c r="A36" s="1">
        <v>28</v>
      </c>
      <c r="B36" s="13" t="s">
        <v>62</v>
      </c>
      <c r="C36" s="10">
        <v>18</v>
      </c>
      <c r="D36" s="3">
        <v>2864598713.1966996</v>
      </c>
      <c r="E36" s="3">
        <v>781799150.06229997</v>
      </c>
      <c r="F36" s="4">
        <f t="shared" si="1"/>
        <v>3646397863.2589998</v>
      </c>
      <c r="G36" s="5">
        <v>104099491.91</v>
      </c>
      <c r="H36" s="5">
        <v>951959613.62</v>
      </c>
      <c r="I36" s="3">
        <v>493232644.2026</v>
      </c>
      <c r="J36" s="6">
        <f t="shared" si="2"/>
        <v>2097106113.5264001</v>
      </c>
      <c r="K36" s="4">
        <v>319128993.17139995</v>
      </c>
      <c r="L36" s="4">
        <v>24386521.969099998</v>
      </c>
      <c r="M36" s="4">
        <v>2569642.8062999998</v>
      </c>
      <c r="N36" s="4">
        <v>44341779.556699999</v>
      </c>
      <c r="O36" s="6">
        <v>1884003515.1333001</v>
      </c>
      <c r="P36" s="8">
        <v>0</v>
      </c>
      <c r="Q36" s="8">
        <f t="shared" si="3"/>
        <v>1884003515.1333001</v>
      </c>
      <c r="R36" s="8">
        <f t="shared" si="4"/>
        <v>5920828315.8958006</v>
      </c>
      <c r="S36" s="7">
        <f t="shared" si="0"/>
        <v>4371536566.1632004</v>
      </c>
      <c r="T36" s="1">
        <v>28</v>
      </c>
    </row>
    <row r="37" spans="1:20" ht="18" customHeight="1" x14ac:dyDescent="0.2">
      <c r="A37" s="1">
        <v>29</v>
      </c>
      <c r="B37" s="13" t="s">
        <v>63</v>
      </c>
      <c r="C37" s="10">
        <v>30</v>
      </c>
      <c r="D37" s="3">
        <v>2806524884.7641997</v>
      </c>
      <c r="E37" s="3">
        <v>0</v>
      </c>
      <c r="F37" s="4">
        <f t="shared" si="1"/>
        <v>2806524884.7641997</v>
      </c>
      <c r="G37" s="5">
        <v>207012696.75</v>
      </c>
      <c r="H37" s="5">
        <v>0</v>
      </c>
      <c r="I37" s="3">
        <v>1639898773.1366999</v>
      </c>
      <c r="J37" s="6">
        <f t="shared" si="2"/>
        <v>959613414.87749982</v>
      </c>
      <c r="K37" s="4">
        <v>312659311.28819996</v>
      </c>
      <c r="L37" s="4">
        <v>15836805.654899999</v>
      </c>
      <c r="M37" s="4">
        <v>2517548.6003</v>
      </c>
      <c r="N37" s="4">
        <v>86885682.931699991</v>
      </c>
      <c r="O37" s="6">
        <v>1843463340.9979</v>
      </c>
      <c r="P37" s="8">
        <v>0</v>
      </c>
      <c r="Q37" s="8">
        <f t="shared" si="3"/>
        <v>1843463340.9979</v>
      </c>
      <c r="R37" s="8">
        <f t="shared" si="4"/>
        <v>5067887574.2371998</v>
      </c>
      <c r="S37" s="7">
        <f t="shared" si="0"/>
        <v>3220976104.3505001</v>
      </c>
      <c r="T37" s="1">
        <v>29</v>
      </c>
    </row>
    <row r="38" spans="1:20" ht="18" customHeight="1" x14ac:dyDescent="0.2">
      <c r="A38" s="1">
        <v>30</v>
      </c>
      <c r="B38" s="13" t="s">
        <v>64</v>
      </c>
      <c r="C38" s="10">
        <v>33</v>
      </c>
      <c r="D38" s="3">
        <v>3451474182.0090003</v>
      </c>
      <c r="E38" s="3">
        <v>0</v>
      </c>
      <c r="F38" s="4">
        <f t="shared" si="1"/>
        <v>3451474182.0090003</v>
      </c>
      <c r="G38" s="5">
        <v>449026038.25</v>
      </c>
      <c r="H38" s="5">
        <v>0</v>
      </c>
      <c r="I38" s="3">
        <v>1015389566.0993</v>
      </c>
      <c r="J38" s="6">
        <f t="shared" si="2"/>
        <v>1987058577.6597004</v>
      </c>
      <c r="K38" s="4">
        <v>384509521.55610001</v>
      </c>
      <c r="L38" s="4">
        <v>19476159.342799999</v>
      </c>
      <c r="M38" s="4">
        <v>3096090.1302</v>
      </c>
      <c r="N38" s="4">
        <v>106852318.6996</v>
      </c>
      <c r="O38" s="6">
        <v>3116745516.3548002</v>
      </c>
      <c r="P38" s="8">
        <v>0</v>
      </c>
      <c r="Q38" s="8">
        <f t="shared" si="3"/>
        <v>3116745516.3548002</v>
      </c>
      <c r="R38" s="8">
        <f t="shared" si="4"/>
        <v>7082153788.0925007</v>
      </c>
      <c r="S38" s="7">
        <f t="shared" si="0"/>
        <v>5617738183.7432003</v>
      </c>
      <c r="T38" s="1">
        <v>30</v>
      </c>
    </row>
    <row r="39" spans="1:20" ht="18" customHeight="1" x14ac:dyDescent="0.2">
      <c r="A39" s="1">
        <v>31</v>
      </c>
      <c r="B39" s="13" t="s">
        <v>65</v>
      </c>
      <c r="C39" s="10">
        <v>17</v>
      </c>
      <c r="D39" s="3">
        <v>3213436202.9422002</v>
      </c>
      <c r="E39" s="3">
        <v>0</v>
      </c>
      <c r="F39" s="4">
        <f t="shared" si="1"/>
        <v>3213436202.9422002</v>
      </c>
      <c r="G39" s="5">
        <v>59905167.450000003</v>
      </c>
      <c r="H39" s="5">
        <v>1031399422.965</v>
      </c>
      <c r="I39" s="3">
        <v>710074719.92690003</v>
      </c>
      <c r="J39" s="6">
        <f t="shared" si="2"/>
        <v>1412056892.6003003</v>
      </c>
      <c r="K39" s="4">
        <v>357991035.65220004</v>
      </c>
      <c r="L39" s="4">
        <v>18132946.155700002</v>
      </c>
      <c r="M39" s="4">
        <v>2882561.9394</v>
      </c>
      <c r="N39" s="4">
        <v>49741514.9542</v>
      </c>
      <c r="O39" s="6">
        <v>1791122183.8836999</v>
      </c>
      <c r="P39" s="8">
        <v>0</v>
      </c>
      <c r="Q39" s="8">
        <f t="shared" si="3"/>
        <v>1791122183.8836999</v>
      </c>
      <c r="R39" s="8">
        <f t="shared" si="4"/>
        <v>5433306445.527401</v>
      </c>
      <c r="S39" s="7">
        <f t="shared" si="0"/>
        <v>3631927135.1855001</v>
      </c>
      <c r="T39" s="1">
        <v>31</v>
      </c>
    </row>
    <row r="40" spans="1:20" ht="18" customHeight="1" x14ac:dyDescent="0.2">
      <c r="A40" s="1">
        <v>32</v>
      </c>
      <c r="B40" s="13" t="s">
        <v>66</v>
      </c>
      <c r="C40" s="10">
        <v>23</v>
      </c>
      <c r="D40" s="3">
        <v>3318719223.5248003</v>
      </c>
      <c r="E40" s="3">
        <v>4768893697.3862</v>
      </c>
      <c r="F40" s="4">
        <f t="shared" si="1"/>
        <v>8087612920.9110003</v>
      </c>
      <c r="G40" s="5">
        <v>292520943.47000003</v>
      </c>
      <c r="H40" s="5">
        <v>0</v>
      </c>
      <c r="I40" s="3">
        <v>689807291.21300006</v>
      </c>
      <c r="J40" s="6">
        <f t="shared" si="2"/>
        <v>7105284686.2279997</v>
      </c>
      <c r="K40" s="4">
        <v>369720030.7823</v>
      </c>
      <c r="L40" s="4">
        <v>66746072.041299991</v>
      </c>
      <c r="M40" s="4">
        <v>2977004.4018999999</v>
      </c>
      <c r="N40" s="4">
        <v>51371214.942600004</v>
      </c>
      <c r="O40" s="6">
        <v>3802356189.0728998</v>
      </c>
      <c r="P40" s="8">
        <v>0</v>
      </c>
      <c r="Q40" s="8">
        <f t="shared" si="3"/>
        <v>3802356189.0728998</v>
      </c>
      <c r="R40" s="8">
        <f t="shared" si="4"/>
        <v>12380783432.152</v>
      </c>
      <c r="S40" s="7">
        <f t="shared" si="0"/>
        <v>11398455197.469</v>
      </c>
      <c r="T40" s="1">
        <v>32</v>
      </c>
    </row>
    <row r="41" spans="1:20" ht="18" customHeight="1" x14ac:dyDescent="0.2">
      <c r="A41" s="1">
        <v>33</v>
      </c>
      <c r="B41" s="13" t="s">
        <v>67</v>
      </c>
      <c r="C41" s="10">
        <v>23</v>
      </c>
      <c r="D41" s="3">
        <v>3391429764.0895</v>
      </c>
      <c r="E41" s="3">
        <v>0</v>
      </c>
      <c r="F41" s="4">
        <f t="shared" si="1"/>
        <v>3391429764.0895</v>
      </c>
      <c r="G41" s="5">
        <v>68150704.620000005</v>
      </c>
      <c r="H41" s="5">
        <v>0</v>
      </c>
      <c r="I41" s="3">
        <v>924335287.00160003</v>
      </c>
      <c r="J41" s="6">
        <f t="shared" si="2"/>
        <v>2398943772.4679003</v>
      </c>
      <c r="K41" s="4">
        <v>377820307.2701</v>
      </c>
      <c r="L41" s="4">
        <v>19137337.550099999</v>
      </c>
      <c r="M41" s="4">
        <v>3042228.2382</v>
      </c>
      <c r="N41" s="4">
        <v>104993436.1056</v>
      </c>
      <c r="O41" s="6">
        <v>1850201748.8276</v>
      </c>
      <c r="P41" s="8">
        <v>0</v>
      </c>
      <c r="Q41" s="8">
        <f t="shared" si="3"/>
        <v>1850201748.8276</v>
      </c>
      <c r="R41" s="8">
        <f t="shared" si="4"/>
        <v>5746624822.0811005</v>
      </c>
      <c r="S41" s="7">
        <f t="shared" si="0"/>
        <v>4754138830.4595003</v>
      </c>
      <c r="T41" s="1">
        <v>33</v>
      </c>
    </row>
    <row r="42" spans="1:20" ht="18" customHeight="1" x14ac:dyDescent="0.2">
      <c r="A42" s="1">
        <v>34</v>
      </c>
      <c r="B42" s="13" t="s">
        <v>68</v>
      </c>
      <c r="C42" s="10">
        <v>16</v>
      </c>
      <c r="D42" s="3">
        <v>2964251310.8540001</v>
      </c>
      <c r="E42" s="3">
        <v>0</v>
      </c>
      <c r="F42" s="4">
        <f t="shared" si="1"/>
        <v>2964251310.8540001</v>
      </c>
      <c r="G42" s="5">
        <v>85537314.109999999</v>
      </c>
      <c r="H42" s="5">
        <v>0</v>
      </c>
      <c r="I42" s="3">
        <v>1157942111.3907001</v>
      </c>
      <c r="J42" s="6">
        <f t="shared" si="2"/>
        <v>1720771885.3532999</v>
      </c>
      <c r="K42" s="4">
        <v>330230734.23229998</v>
      </c>
      <c r="L42" s="4">
        <v>16726832.595100001</v>
      </c>
      <c r="M42" s="4">
        <v>2659034.5872</v>
      </c>
      <c r="N42" s="4">
        <v>91768649.878199995</v>
      </c>
      <c r="O42" s="6">
        <v>1578850912.0978</v>
      </c>
      <c r="P42" s="8">
        <v>0</v>
      </c>
      <c r="Q42" s="8">
        <f t="shared" si="3"/>
        <v>1578850912.0978</v>
      </c>
      <c r="R42" s="8">
        <f t="shared" si="4"/>
        <v>4984487474.2446003</v>
      </c>
      <c r="S42" s="7">
        <f t="shared" si="0"/>
        <v>3741008048.7438993</v>
      </c>
      <c r="T42" s="1">
        <v>34</v>
      </c>
    </row>
    <row r="43" spans="1:20" ht="18" customHeight="1" x14ac:dyDescent="0.2">
      <c r="A43" s="1">
        <v>35</v>
      </c>
      <c r="B43" s="13" t="s">
        <v>69</v>
      </c>
      <c r="C43" s="10">
        <v>17</v>
      </c>
      <c r="D43" s="3">
        <v>3055762582.0640001</v>
      </c>
      <c r="E43" s="3">
        <v>0</v>
      </c>
      <c r="F43" s="4">
        <f t="shared" si="1"/>
        <v>3055762582.0640001</v>
      </c>
      <c r="G43" s="5">
        <v>54061838.009999998</v>
      </c>
      <c r="H43" s="5">
        <v>0</v>
      </c>
      <c r="I43" s="3">
        <v>492664920.30260003</v>
      </c>
      <c r="J43" s="6">
        <f t="shared" si="2"/>
        <v>2509035823.7514</v>
      </c>
      <c r="K43" s="4">
        <v>340425495.44279999</v>
      </c>
      <c r="L43" s="4">
        <v>17243217.1939</v>
      </c>
      <c r="M43" s="4">
        <v>2741123.3205999997</v>
      </c>
      <c r="N43" s="4">
        <v>94601697.729799986</v>
      </c>
      <c r="O43" s="6">
        <v>1651407598.8529</v>
      </c>
      <c r="P43" s="8">
        <v>0</v>
      </c>
      <c r="Q43" s="8">
        <f t="shared" si="3"/>
        <v>1651407598.8529</v>
      </c>
      <c r="R43" s="8">
        <f t="shared" si="4"/>
        <v>5162181714.6040001</v>
      </c>
      <c r="S43" s="7">
        <f t="shared" si="0"/>
        <v>4615454956.2914009</v>
      </c>
      <c r="T43" s="1">
        <v>35</v>
      </c>
    </row>
    <row r="44" spans="1:20" ht="18" customHeight="1" x14ac:dyDescent="0.2">
      <c r="A44" s="1">
        <v>36</v>
      </c>
      <c r="B44" s="13" t="s">
        <v>70</v>
      </c>
      <c r="C44" s="10">
        <v>14</v>
      </c>
      <c r="D44" s="3">
        <v>3062270464.0973997</v>
      </c>
      <c r="E44" s="3">
        <v>0</v>
      </c>
      <c r="F44" s="4">
        <f t="shared" si="1"/>
        <v>3062270464.0973997</v>
      </c>
      <c r="G44" s="5">
        <v>48419095.789999999</v>
      </c>
      <c r="H44" s="5">
        <v>488822936.86000001</v>
      </c>
      <c r="I44" s="3">
        <v>702664880.09389997</v>
      </c>
      <c r="J44" s="6">
        <f t="shared" si="2"/>
        <v>1822363551.3534997</v>
      </c>
      <c r="K44" s="4">
        <v>341150502.34570003</v>
      </c>
      <c r="L44" s="4">
        <v>17279940.208799999</v>
      </c>
      <c r="M44" s="4">
        <v>2746961.1127999998</v>
      </c>
      <c r="N44" s="4">
        <v>94803171.722800002</v>
      </c>
      <c r="O44" s="6">
        <v>1799833751.5517001</v>
      </c>
      <c r="P44" s="8">
        <v>0</v>
      </c>
      <c r="Q44" s="8">
        <f t="shared" si="3"/>
        <v>1799833751.5517001</v>
      </c>
      <c r="R44" s="8">
        <f t="shared" si="4"/>
        <v>5318084791.0391998</v>
      </c>
      <c r="S44" s="7">
        <f t="shared" si="0"/>
        <v>4078177878.2952995</v>
      </c>
      <c r="T44" s="1">
        <v>36</v>
      </c>
    </row>
    <row r="45" spans="1:20" ht="18" customHeight="1" x14ac:dyDescent="0.3">
      <c r="A45" s="1">
        <v>37</v>
      </c>
      <c r="B45" s="65" t="s">
        <v>130</v>
      </c>
      <c r="C45" s="10"/>
      <c r="D45" s="3"/>
      <c r="E45" s="3"/>
      <c r="F45" s="4"/>
      <c r="G45" s="5"/>
      <c r="H45" s="5"/>
      <c r="I45" s="3"/>
      <c r="J45" s="6">
        <v>0</v>
      </c>
      <c r="K45" s="4">
        <v>0</v>
      </c>
      <c r="L45" s="4">
        <v>0</v>
      </c>
      <c r="M45" s="4">
        <v>0</v>
      </c>
      <c r="N45" s="4">
        <v>304930713.47695005</v>
      </c>
      <c r="O45" s="6">
        <v>0</v>
      </c>
      <c r="P45" s="6">
        <v>0</v>
      </c>
      <c r="Q45" s="8">
        <f t="shared" si="3"/>
        <v>0</v>
      </c>
      <c r="R45" s="8">
        <f t="shared" si="4"/>
        <v>304930713.47695005</v>
      </c>
      <c r="S45" s="7">
        <f t="shared" ref="S45:S46" si="5">J45+K45+L45+M45+N45+Q45</f>
        <v>304930713.47695005</v>
      </c>
      <c r="T45" s="1"/>
    </row>
    <row r="46" spans="1:20" ht="18" customHeight="1" x14ac:dyDescent="0.3">
      <c r="A46" s="1">
        <v>38</v>
      </c>
      <c r="B46" s="65" t="s">
        <v>131</v>
      </c>
      <c r="C46" s="10"/>
      <c r="D46" s="3"/>
      <c r="E46" s="3"/>
      <c r="F46" s="4"/>
      <c r="G46" s="5"/>
      <c r="H46" s="5"/>
      <c r="I46" s="3"/>
      <c r="J46" s="6"/>
      <c r="K46" s="4"/>
      <c r="L46" s="4"/>
      <c r="M46" s="4"/>
      <c r="N46" s="4">
        <v>420685679.50269997</v>
      </c>
      <c r="O46" s="6"/>
      <c r="P46" s="6"/>
      <c r="Q46" s="8">
        <f t="shared" si="3"/>
        <v>0</v>
      </c>
      <c r="R46" s="8">
        <f t="shared" si="4"/>
        <v>420685679.50269997</v>
      </c>
      <c r="S46" s="7">
        <f t="shared" si="5"/>
        <v>420685679.50269997</v>
      </c>
      <c r="T46" s="1"/>
    </row>
    <row r="47" spans="1:20" ht="18" customHeight="1" thickBot="1" x14ac:dyDescent="0.3">
      <c r="A47" s="1"/>
      <c r="B47" s="80" t="s">
        <v>15</v>
      </c>
      <c r="C47" s="81"/>
      <c r="D47" s="82">
        <f>SUM(D9:D44)</f>
        <v>116691946104.55959</v>
      </c>
      <c r="E47" s="82">
        <f t="shared" ref="E47:H47" si="6">SUM(E9:E44)</f>
        <v>28687298885.381504</v>
      </c>
      <c r="F47" s="82">
        <f t="shared" si="6"/>
        <v>145379244989.9411</v>
      </c>
      <c r="G47" s="82">
        <f t="shared" si="6"/>
        <v>7658363731.9799995</v>
      </c>
      <c r="H47" s="82">
        <f t="shared" si="6"/>
        <v>8813243618.1949997</v>
      </c>
      <c r="I47" s="82">
        <f>SUM(I9:I46)</f>
        <v>27536668529.934696</v>
      </c>
      <c r="J47" s="82">
        <f t="shared" ref="J47:S47" si="7">SUM(J9:J46)</f>
        <v>101370969109.83141</v>
      </c>
      <c r="K47" s="82">
        <f t="shared" si="7"/>
        <v>12999999999.999804</v>
      </c>
      <c r="L47" s="82">
        <f t="shared" si="7"/>
        <v>955878639.67729962</v>
      </c>
      <c r="M47" s="82">
        <f t="shared" si="7"/>
        <v>104676658.01839998</v>
      </c>
      <c r="N47" s="82">
        <f t="shared" si="7"/>
        <v>3612602719.0966997</v>
      </c>
      <c r="O47" s="82">
        <f t="shared" si="7"/>
        <v>83113882516.875198</v>
      </c>
      <c r="P47" s="82">
        <f t="shared" si="7"/>
        <v>1000000000</v>
      </c>
      <c r="Q47" s="82">
        <f t="shared" si="7"/>
        <v>82113882516.875198</v>
      </c>
      <c r="R47" s="82">
        <f t="shared" si="7"/>
        <v>246166285523.60849</v>
      </c>
      <c r="S47" s="82">
        <f t="shared" si="7"/>
        <v>201158009643.49881</v>
      </c>
    </row>
    <row r="48" spans="1:20" ht="13.5" thickTop="1" x14ac:dyDescent="0.2"/>
    <row r="50" spans="1:19" ht="20.25" x14ac:dyDescent="0.3">
      <c r="A50" s="11" t="s">
        <v>30</v>
      </c>
    </row>
    <row r="53" spans="1:19" x14ac:dyDescent="0.2">
      <c r="N53" s="15"/>
    </row>
    <row r="54" spans="1:19" x14ac:dyDescent="0.2">
      <c r="S54" s="83"/>
    </row>
  </sheetData>
  <mergeCells count="12">
    <mergeCell ref="A1:S1"/>
    <mergeCell ref="A3:S3"/>
    <mergeCell ref="A2:S2"/>
    <mergeCell ref="K6:K7"/>
    <mergeCell ref="S6:S7"/>
    <mergeCell ref="N6:N7"/>
    <mergeCell ref="P6:P7"/>
    <mergeCell ref="Q6:Q7"/>
    <mergeCell ref="L6:L7"/>
    <mergeCell ref="M6:M7"/>
    <mergeCell ref="O6:O7"/>
    <mergeCell ref="R6:R7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0"/>
  <sheetViews>
    <sheetView topLeftCell="A33" workbookViewId="0">
      <selection activeCell="H43" sqref="H43"/>
    </sheetView>
  </sheetViews>
  <sheetFormatPr defaultRowHeight="12.75" x14ac:dyDescent="0.2"/>
  <cols>
    <col min="2" max="2" width="24.140625" customWidth="1"/>
    <col min="4" max="5" width="25.5703125" customWidth="1"/>
    <col min="6" max="7" width="25" customWidth="1"/>
    <col min="8" max="8" width="26.140625" customWidth="1"/>
    <col min="9" max="9" width="8.42578125" customWidth="1"/>
    <col min="10" max="10" width="18.7109375" bestFit="1" customWidth="1"/>
  </cols>
  <sheetData>
    <row r="1" spans="1:9" ht="27" x14ac:dyDescent="0.35">
      <c r="A1" s="102" t="s">
        <v>116</v>
      </c>
      <c r="B1" s="102"/>
      <c r="C1" s="102"/>
      <c r="D1" s="102"/>
      <c r="E1" s="102"/>
      <c r="F1" s="102"/>
      <c r="G1" s="102"/>
      <c r="H1" s="102"/>
      <c r="I1" s="102"/>
    </row>
    <row r="2" spans="1:9" ht="25.5" x14ac:dyDescent="0.35">
      <c r="A2" s="103" t="s">
        <v>117</v>
      </c>
      <c r="B2" s="104"/>
      <c r="C2" s="104"/>
      <c r="D2" s="104"/>
      <c r="E2" s="104"/>
      <c r="F2" s="104"/>
      <c r="G2" s="104"/>
      <c r="H2" s="104"/>
      <c r="I2" s="105"/>
    </row>
    <row r="3" spans="1:9" ht="48.75" customHeight="1" x14ac:dyDescent="0.35">
      <c r="A3" s="106" t="s">
        <v>122</v>
      </c>
      <c r="B3" s="107"/>
      <c r="C3" s="107"/>
      <c r="D3" s="107"/>
      <c r="E3" s="107"/>
      <c r="F3" s="107"/>
      <c r="G3" s="107"/>
      <c r="H3" s="107"/>
      <c r="I3" s="108"/>
    </row>
    <row r="4" spans="1:9" ht="19.5" x14ac:dyDescent="0.35">
      <c r="A4" s="57"/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9" t="s">
        <v>132</v>
      </c>
      <c r="I4" s="60"/>
    </row>
    <row r="5" spans="1:9" ht="47.25" x14ac:dyDescent="0.25">
      <c r="A5" s="61" t="s">
        <v>0</v>
      </c>
      <c r="B5" s="61" t="s">
        <v>20</v>
      </c>
      <c r="C5" s="62" t="s">
        <v>1</v>
      </c>
      <c r="D5" s="63" t="s">
        <v>118</v>
      </c>
      <c r="E5" s="71" t="s">
        <v>123</v>
      </c>
      <c r="F5" s="64" t="s">
        <v>119</v>
      </c>
      <c r="G5" s="64" t="s">
        <v>124</v>
      </c>
      <c r="H5" s="61" t="s">
        <v>13</v>
      </c>
      <c r="I5" s="61" t="s">
        <v>0</v>
      </c>
    </row>
    <row r="6" spans="1:9" ht="18.75" x14ac:dyDescent="0.3">
      <c r="A6" s="65"/>
      <c r="B6" s="65"/>
      <c r="C6" s="65"/>
      <c r="D6" s="66" t="s">
        <v>98</v>
      </c>
      <c r="E6" s="66" t="s">
        <v>98</v>
      </c>
      <c r="F6" s="66" t="s">
        <v>98</v>
      </c>
      <c r="G6" s="66" t="s">
        <v>98</v>
      </c>
      <c r="H6" s="66" t="s">
        <v>98</v>
      </c>
      <c r="I6" s="65"/>
    </row>
    <row r="7" spans="1:9" ht="18.75" x14ac:dyDescent="0.3">
      <c r="A7" s="67">
        <v>1</v>
      </c>
      <c r="B7" s="65" t="s">
        <v>35</v>
      </c>
      <c r="C7" s="67">
        <v>17</v>
      </c>
      <c r="D7" s="65">
        <f>79795754.2219/2</f>
        <v>39897877.110950001</v>
      </c>
      <c r="E7" s="65">
        <f>8889600.6924/2</f>
        <v>4444800.3461999996</v>
      </c>
      <c r="F7" s="65">
        <f>450275.6625/2</f>
        <v>225137.83124999999</v>
      </c>
      <c r="G7" s="65">
        <f>71579.5147/2</f>
        <v>35789.75735</v>
      </c>
      <c r="H7" s="65">
        <f>D7+E7+F7+G7</f>
        <v>44603605.045749992</v>
      </c>
      <c r="I7" s="68">
        <v>1</v>
      </c>
    </row>
    <row r="8" spans="1:9" ht="18.75" x14ac:dyDescent="0.3">
      <c r="A8" s="67">
        <v>2</v>
      </c>
      <c r="B8" s="65" t="s">
        <v>36</v>
      </c>
      <c r="C8" s="67">
        <v>21</v>
      </c>
      <c r="D8" s="65">
        <v>84888960.304700002</v>
      </c>
      <c r="E8" s="65">
        <v>9457006.4242000002</v>
      </c>
      <c r="F8" s="65">
        <v>479015.8725</v>
      </c>
      <c r="G8" s="65">
        <v>76148.294399999999</v>
      </c>
      <c r="H8" s="65">
        <f t="shared" ref="H8:H44" si="0">D8+E8+F8+G8</f>
        <v>94901130.895800009</v>
      </c>
      <c r="I8" s="68">
        <v>2</v>
      </c>
    </row>
    <row r="9" spans="1:9" ht="18.75" x14ac:dyDescent="0.3">
      <c r="A9" s="67">
        <v>3</v>
      </c>
      <c r="B9" s="65" t="s">
        <v>37</v>
      </c>
      <c r="C9" s="67">
        <v>31</v>
      </c>
      <c r="D9" s="65">
        <f>85677826.7415/2</f>
        <v>42838913.370750003</v>
      </c>
      <c r="E9" s="65">
        <f>9544889.6417/2</f>
        <v>4772444.8208499998</v>
      </c>
      <c r="F9" s="65">
        <f>483467.3294/2</f>
        <v>241733.66469999999</v>
      </c>
      <c r="G9" s="65">
        <f>76855.9345/2</f>
        <v>38427.967250000002</v>
      </c>
      <c r="H9" s="65">
        <f t="shared" si="0"/>
        <v>47891519.823550001</v>
      </c>
      <c r="I9" s="68">
        <v>3</v>
      </c>
    </row>
    <row r="10" spans="1:9" ht="18.75" x14ac:dyDescent="0.3">
      <c r="A10" s="67">
        <v>4</v>
      </c>
      <c r="B10" s="65" t="s">
        <v>38</v>
      </c>
      <c r="C10" s="67">
        <v>21</v>
      </c>
      <c r="D10" s="65">
        <v>84729930.831499994</v>
      </c>
      <c r="E10" s="65">
        <v>9439289.8359999992</v>
      </c>
      <c r="F10" s="65">
        <v>478118.49280000001</v>
      </c>
      <c r="G10" s="65">
        <v>76005.639500000005</v>
      </c>
      <c r="H10" s="65">
        <f t="shared" si="0"/>
        <v>94723344.799799994</v>
      </c>
      <c r="I10" s="68">
        <v>4</v>
      </c>
    </row>
    <row r="11" spans="1:9" ht="18.75" x14ac:dyDescent="0.3">
      <c r="A11" s="67">
        <v>5</v>
      </c>
      <c r="B11" s="65" t="s">
        <v>39</v>
      </c>
      <c r="C11" s="67">
        <v>20</v>
      </c>
      <c r="D11" s="65">
        <v>101932945.57600001</v>
      </c>
      <c r="E11" s="65">
        <v>11355781.926000001</v>
      </c>
      <c r="F11" s="65">
        <v>575192.56550000003</v>
      </c>
      <c r="G11" s="65">
        <v>91437.330900000001</v>
      </c>
      <c r="H11" s="65">
        <f t="shared" si="0"/>
        <v>113955357.39840001</v>
      </c>
      <c r="I11" s="68">
        <v>5</v>
      </c>
    </row>
    <row r="12" spans="1:9" ht="18.75" x14ac:dyDescent="0.3">
      <c r="A12" s="67">
        <v>6</v>
      </c>
      <c r="B12" s="65" t="s">
        <v>40</v>
      </c>
      <c r="C12" s="67">
        <v>8</v>
      </c>
      <c r="D12" s="65">
        <f>75401407.0962/2</f>
        <v>37700703.548100002</v>
      </c>
      <c r="E12" s="65">
        <f>8400050.9459/2</f>
        <v>4200025.4729500003</v>
      </c>
      <c r="F12" s="65">
        <f>425479.0104/2</f>
        <v>212739.50520000001</v>
      </c>
      <c r="G12" s="65">
        <f>67637.6354/2</f>
        <v>33818.8177</v>
      </c>
      <c r="H12" s="65">
        <f t="shared" si="0"/>
        <v>42147287.343950003</v>
      </c>
      <c r="I12" s="68">
        <v>6</v>
      </c>
    </row>
    <row r="13" spans="1:9" ht="18.75" x14ac:dyDescent="0.3">
      <c r="A13" s="67">
        <v>7</v>
      </c>
      <c r="B13" s="65" t="s">
        <v>41</v>
      </c>
      <c r="C13" s="67">
        <v>23</v>
      </c>
      <c r="D13" s="65">
        <f>95568725.8341/2</f>
        <v>47784362.917049997</v>
      </c>
      <c r="E13" s="65">
        <f>10646779.6392/2</f>
        <v>5323389.8196</v>
      </c>
      <c r="F13" s="65">
        <f>539280.2131/2</f>
        <v>269640.10655000003</v>
      </c>
      <c r="G13" s="65">
        <f>85728.4086/2</f>
        <v>42864.204299999998</v>
      </c>
      <c r="H13" s="65">
        <f t="shared" si="0"/>
        <v>53420257.047499999</v>
      </c>
      <c r="I13" s="68">
        <v>7</v>
      </c>
    </row>
    <row r="14" spans="1:9" ht="18.75" x14ac:dyDescent="0.3">
      <c r="A14" s="67">
        <v>8</v>
      </c>
      <c r="B14" s="65" t="s">
        <v>42</v>
      </c>
      <c r="C14" s="67">
        <v>27</v>
      </c>
      <c r="D14" s="65">
        <v>105876451.8864</v>
      </c>
      <c r="E14" s="65">
        <v>11795106.0075</v>
      </c>
      <c r="F14" s="65">
        <v>597445.18949999998</v>
      </c>
      <c r="G14" s="65">
        <v>94974.790599999993</v>
      </c>
      <c r="H14" s="65">
        <f t="shared" si="0"/>
        <v>118363977.87400001</v>
      </c>
      <c r="I14" s="68">
        <v>8</v>
      </c>
    </row>
    <row r="15" spans="1:9" ht="18.75" x14ac:dyDescent="0.3">
      <c r="A15" s="67">
        <v>9</v>
      </c>
      <c r="B15" s="65" t="s">
        <v>43</v>
      </c>
      <c r="C15" s="67">
        <v>18</v>
      </c>
      <c r="D15" s="65">
        <f>85692438.3552/2</f>
        <v>42846219.177599996</v>
      </c>
      <c r="E15" s="65">
        <f>9546517.4402/2</f>
        <v>4773258.7200999996</v>
      </c>
      <c r="F15" s="65">
        <f>483549.7807/2</f>
        <v>241774.89035</v>
      </c>
      <c r="G15" s="65">
        <f>76869.0416/2</f>
        <v>38434.520799999998</v>
      </c>
      <c r="H15" s="65">
        <f t="shared" si="0"/>
        <v>47899687.308849998</v>
      </c>
      <c r="I15" s="68">
        <v>9</v>
      </c>
    </row>
    <row r="16" spans="1:9" ht="18.75" x14ac:dyDescent="0.3">
      <c r="A16" s="67">
        <v>10</v>
      </c>
      <c r="B16" s="65" t="s">
        <v>44</v>
      </c>
      <c r="C16" s="67">
        <v>25</v>
      </c>
      <c r="D16" s="65">
        <f>86525451.9285/2</f>
        <v>43262725.964249998</v>
      </c>
      <c r="E16" s="65">
        <f>9639318.8444/2</f>
        <v>4819659.4221999999</v>
      </c>
      <c r="F16" s="65">
        <f>488250.3533/2</f>
        <v>244125.17665000001</v>
      </c>
      <c r="G16" s="65">
        <f>77616.2832/2</f>
        <v>38808.141600000003</v>
      </c>
      <c r="H16" s="65">
        <f t="shared" si="0"/>
        <v>48365318.704700001</v>
      </c>
      <c r="I16" s="68">
        <v>10</v>
      </c>
    </row>
    <row r="17" spans="1:9" ht="18.75" x14ac:dyDescent="0.3">
      <c r="A17" s="67">
        <v>11</v>
      </c>
      <c r="B17" s="65" t="s">
        <v>45</v>
      </c>
      <c r="C17" s="67">
        <v>13</v>
      </c>
      <c r="D17" s="65">
        <v>76238594.945299998</v>
      </c>
      <c r="E17" s="65">
        <v>8493317.3828999996</v>
      </c>
      <c r="F17" s="65">
        <v>430203.13760000002</v>
      </c>
      <c r="G17" s="65">
        <v>68388.621499999994</v>
      </c>
      <c r="H17" s="65">
        <f t="shared" si="0"/>
        <v>85230504.087300003</v>
      </c>
      <c r="I17" s="68">
        <v>11</v>
      </c>
    </row>
    <row r="18" spans="1:9" ht="18.75" x14ac:dyDescent="0.3">
      <c r="A18" s="67">
        <v>12</v>
      </c>
      <c r="B18" s="65" t="s">
        <v>46</v>
      </c>
      <c r="C18" s="67">
        <v>18</v>
      </c>
      <c r="D18" s="65">
        <f>79681550.4325/2</f>
        <v>39840775.216250002</v>
      </c>
      <c r="E18" s="65">
        <f>8876877.8841/2</f>
        <v>4438438.9420499997</v>
      </c>
      <c r="F18" s="65">
        <f>449631.2274/2</f>
        <v>224815.61369999999</v>
      </c>
      <c r="G18" s="65">
        <f>71477.07/2</f>
        <v>35738.535000000003</v>
      </c>
      <c r="H18" s="65">
        <f t="shared" si="0"/>
        <v>44539768.307000004</v>
      </c>
      <c r="I18" s="68">
        <v>12</v>
      </c>
    </row>
    <row r="19" spans="1:9" ht="18.75" x14ac:dyDescent="0.3">
      <c r="A19" s="67">
        <v>13</v>
      </c>
      <c r="B19" s="65" t="s">
        <v>47</v>
      </c>
      <c r="C19" s="67">
        <v>16</v>
      </c>
      <c r="D19" s="65">
        <v>76195573.950499997</v>
      </c>
      <c r="E19" s="65">
        <v>8488524.6534000002</v>
      </c>
      <c r="F19" s="65">
        <v>429960.37660000002</v>
      </c>
      <c r="G19" s="65">
        <v>68350.030199999994</v>
      </c>
      <c r="H19" s="65">
        <f t="shared" si="0"/>
        <v>85182409.010700002</v>
      </c>
      <c r="I19" s="68">
        <v>13</v>
      </c>
    </row>
    <row r="20" spans="1:9" ht="18.75" x14ac:dyDescent="0.3">
      <c r="A20" s="67">
        <v>14</v>
      </c>
      <c r="B20" s="65" t="s">
        <v>48</v>
      </c>
      <c r="C20" s="67">
        <v>17</v>
      </c>
      <c r="D20" s="65">
        <v>85699834.191200003</v>
      </c>
      <c r="E20" s="65">
        <v>9547341.3691000007</v>
      </c>
      <c r="F20" s="65">
        <v>483591.51429999998</v>
      </c>
      <c r="G20" s="65">
        <v>76875.676000000007</v>
      </c>
      <c r="H20" s="65">
        <f t="shared" si="0"/>
        <v>95807642.75060001</v>
      </c>
      <c r="I20" s="68">
        <v>14</v>
      </c>
    </row>
    <row r="21" spans="1:9" ht="18.75" x14ac:dyDescent="0.3">
      <c r="A21" s="67">
        <v>15</v>
      </c>
      <c r="B21" s="65" t="s">
        <v>49</v>
      </c>
      <c r="C21" s="67">
        <v>11</v>
      </c>
      <c r="D21" s="65">
        <v>80267306.779699996</v>
      </c>
      <c r="E21" s="65">
        <v>8942133.7372999992</v>
      </c>
      <c r="F21" s="65">
        <v>452936.56390000001</v>
      </c>
      <c r="G21" s="65">
        <v>72002.513500000001</v>
      </c>
      <c r="H21" s="65">
        <f t="shared" si="0"/>
        <v>89734379.594399989</v>
      </c>
      <c r="I21" s="68">
        <v>15</v>
      </c>
    </row>
    <row r="22" spans="1:9" ht="18.75" x14ac:dyDescent="0.3">
      <c r="A22" s="67">
        <v>16</v>
      </c>
      <c r="B22" s="65" t="s">
        <v>50</v>
      </c>
      <c r="C22" s="67">
        <v>27</v>
      </c>
      <c r="D22" s="65">
        <f>88601011.0516/2</f>
        <v>44300505.525799997</v>
      </c>
      <c r="E22" s="65">
        <f>9870545.33/2</f>
        <v>4935272.665</v>
      </c>
      <c r="F22" s="65">
        <f>499962.427/2</f>
        <v>249981.21350000001</v>
      </c>
      <c r="G22" s="65">
        <f>79478.1306/2</f>
        <v>39739.065300000002</v>
      </c>
      <c r="H22" s="65">
        <f t="shared" si="0"/>
        <v>49525498.469599999</v>
      </c>
      <c r="I22" s="68">
        <v>16</v>
      </c>
    </row>
    <row r="23" spans="1:9" ht="18.75" x14ac:dyDescent="0.3">
      <c r="A23" s="67">
        <v>17</v>
      </c>
      <c r="B23" s="65" t="s">
        <v>51</v>
      </c>
      <c r="C23" s="67">
        <v>27</v>
      </c>
      <c r="D23" s="65">
        <v>95298606.388699993</v>
      </c>
      <c r="E23" s="65">
        <v>10616687.1357</v>
      </c>
      <c r="F23" s="65">
        <v>537755.96880000003</v>
      </c>
      <c r="G23" s="65">
        <v>85486.102199999994</v>
      </c>
      <c r="H23" s="65">
        <f t="shared" si="0"/>
        <v>106538535.59539999</v>
      </c>
      <c r="I23" s="68">
        <v>17</v>
      </c>
    </row>
    <row r="24" spans="1:9" ht="18.75" x14ac:dyDescent="0.3">
      <c r="A24" s="67">
        <v>18</v>
      </c>
      <c r="B24" s="65" t="s">
        <v>52</v>
      </c>
      <c r="C24" s="67">
        <v>23</v>
      </c>
      <c r="D24" s="65">
        <v>111653401.6073</v>
      </c>
      <c r="E24" s="65">
        <v>12438683.811100001</v>
      </c>
      <c r="F24" s="65">
        <v>630043.66429999995</v>
      </c>
      <c r="G24" s="65">
        <v>100156.9117</v>
      </c>
      <c r="H24" s="65">
        <f t="shared" si="0"/>
        <v>124822285.99439999</v>
      </c>
      <c r="I24" s="68">
        <v>18</v>
      </c>
    </row>
    <row r="25" spans="1:9" ht="18.75" x14ac:dyDescent="0.3">
      <c r="A25" s="67">
        <v>19</v>
      </c>
      <c r="B25" s="65" t="s">
        <v>53</v>
      </c>
      <c r="C25" s="67">
        <v>44</v>
      </c>
      <c r="D25" s="65">
        <v>135168873.00529999</v>
      </c>
      <c r="E25" s="65">
        <v>15058411.5505</v>
      </c>
      <c r="F25" s="65">
        <v>762737.99820000003</v>
      </c>
      <c r="G25" s="65">
        <v>121251.092</v>
      </c>
      <c r="H25" s="65">
        <f t="shared" si="0"/>
        <v>151111273.646</v>
      </c>
      <c r="I25" s="68">
        <v>19</v>
      </c>
    </row>
    <row r="26" spans="1:9" ht="18.75" x14ac:dyDescent="0.3">
      <c r="A26" s="67">
        <v>20</v>
      </c>
      <c r="B26" s="65" t="s">
        <v>54</v>
      </c>
      <c r="C26" s="67">
        <v>34</v>
      </c>
      <c r="D26" s="65">
        <v>104752029.6793</v>
      </c>
      <c r="E26" s="65">
        <v>11669840.389900001</v>
      </c>
      <c r="F26" s="65">
        <v>591100.24100000004</v>
      </c>
      <c r="G26" s="65">
        <v>93966.145499999999</v>
      </c>
      <c r="H26" s="65">
        <f t="shared" si="0"/>
        <v>117106936.4557</v>
      </c>
      <c r="I26" s="68">
        <v>20</v>
      </c>
    </row>
    <row r="27" spans="1:9" ht="18.75" x14ac:dyDescent="0.3">
      <c r="A27" s="67">
        <v>21</v>
      </c>
      <c r="B27" s="65" t="s">
        <v>55</v>
      </c>
      <c r="C27" s="67">
        <v>21</v>
      </c>
      <c r="D27" s="65">
        <f>89982516.1077/2</f>
        <v>44991258.053850003</v>
      </c>
      <c r="E27" s="65">
        <f>10024451.1164/2</f>
        <v>5012225.5581999999</v>
      </c>
      <c r="F27" s="65">
        <f>507758.0562/2</f>
        <v>253879.0281</v>
      </c>
      <c r="G27" s="65">
        <f>80717.3878/2</f>
        <v>40358.693899999998</v>
      </c>
      <c r="H27" s="65">
        <f t="shared" si="0"/>
        <v>50297721.33405</v>
      </c>
      <c r="I27" s="68">
        <v>21</v>
      </c>
    </row>
    <row r="28" spans="1:9" ht="18.75" x14ac:dyDescent="0.3">
      <c r="A28" s="67">
        <v>22</v>
      </c>
      <c r="B28" s="65" t="s">
        <v>56</v>
      </c>
      <c r="C28" s="67">
        <v>21</v>
      </c>
      <c r="D28" s="65">
        <f>94184529.5065/2</f>
        <v>47092264.753250003</v>
      </c>
      <c r="E28" s="65">
        <f>10492574.0332/2</f>
        <v>5246287.0165999997</v>
      </c>
      <c r="F28" s="65">
        <f>531469.3974/2</f>
        <v>265734.69870000001</v>
      </c>
      <c r="G28" s="65">
        <f>84486.7372/2</f>
        <v>42243.368600000002</v>
      </c>
      <c r="H28" s="65">
        <f t="shared" si="0"/>
        <v>52646529.837150007</v>
      </c>
      <c r="I28" s="68">
        <v>22</v>
      </c>
    </row>
    <row r="29" spans="1:9" ht="18.75" x14ac:dyDescent="0.3">
      <c r="A29" s="67">
        <v>23</v>
      </c>
      <c r="B29" s="65" t="s">
        <v>57</v>
      </c>
      <c r="C29" s="67">
        <v>16</v>
      </c>
      <c r="D29" s="65">
        <f>75855864.6345/2</f>
        <v>37927932.317249998</v>
      </c>
      <c r="E29" s="65">
        <f>8450679.5299/2</f>
        <v>4225339.7649499997</v>
      </c>
      <c r="F29" s="65">
        <f>428043.4469/2</f>
        <v>214021.72344999999</v>
      </c>
      <c r="G29" s="65">
        <f>68045.2993/2</f>
        <v>34022.649649999999</v>
      </c>
      <c r="H29" s="65">
        <f t="shared" si="0"/>
        <v>42401316.455299996</v>
      </c>
      <c r="I29" s="68">
        <v>23</v>
      </c>
    </row>
    <row r="30" spans="1:9" ht="18.75" x14ac:dyDescent="0.3">
      <c r="A30" s="67">
        <v>24</v>
      </c>
      <c r="B30" s="65" t="s">
        <v>58</v>
      </c>
      <c r="C30" s="67">
        <v>20</v>
      </c>
      <c r="D30" s="65">
        <v>114158882.05239999</v>
      </c>
      <c r="E30" s="65">
        <v>12717805.4375</v>
      </c>
      <c r="F30" s="65">
        <v>644181.72039999999</v>
      </c>
      <c r="G30" s="65">
        <v>102404.41310000001</v>
      </c>
      <c r="H30" s="65">
        <f t="shared" si="0"/>
        <v>127623273.6234</v>
      </c>
      <c r="I30" s="68">
        <v>24</v>
      </c>
    </row>
    <row r="31" spans="1:9" ht="18.75" x14ac:dyDescent="0.3">
      <c r="A31" s="67">
        <v>25</v>
      </c>
      <c r="B31" s="65" t="s">
        <v>59</v>
      </c>
      <c r="C31" s="67">
        <v>13</v>
      </c>
      <c r="D31" s="65">
        <v>78586838.756999999</v>
      </c>
      <c r="E31" s="65">
        <v>8754922.1513999999</v>
      </c>
      <c r="F31" s="65">
        <v>443453.93079999997</v>
      </c>
      <c r="G31" s="65">
        <v>70495.076300000001</v>
      </c>
      <c r="H31" s="65">
        <f t="shared" si="0"/>
        <v>87855709.9155</v>
      </c>
      <c r="I31" s="68">
        <v>25</v>
      </c>
    </row>
    <row r="32" spans="1:9" ht="18.75" x14ac:dyDescent="0.3">
      <c r="A32" s="67">
        <v>26</v>
      </c>
      <c r="B32" s="65" t="s">
        <v>60</v>
      </c>
      <c r="C32" s="67">
        <v>25</v>
      </c>
      <c r="D32" s="65">
        <f>100941295.3817/2</f>
        <v>50470647.690849997</v>
      </c>
      <c r="E32" s="65">
        <f>11245307.6992/2</f>
        <v>5622653.8496000003</v>
      </c>
      <c r="F32" s="65">
        <f>569596.8298/2</f>
        <v>284798.41489999997</v>
      </c>
      <c r="G32" s="65">
        <f>90547.7868/2</f>
        <v>45273.893400000001</v>
      </c>
      <c r="H32" s="65">
        <f t="shared" si="0"/>
        <v>56423373.848749995</v>
      </c>
      <c r="I32" s="68">
        <v>26</v>
      </c>
    </row>
    <row r="33" spans="1:10" ht="18.75" x14ac:dyDescent="0.3">
      <c r="A33" s="67">
        <v>27</v>
      </c>
      <c r="B33" s="65" t="s">
        <v>61</v>
      </c>
      <c r="C33" s="67">
        <v>20</v>
      </c>
      <c r="D33" s="65">
        <v>79170503.347100005</v>
      </c>
      <c r="E33" s="65">
        <v>8819944.9737</v>
      </c>
      <c r="F33" s="65">
        <v>446747.46409999998</v>
      </c>
      <c r="G33" s="65">
        <v>71018.643400000001</v>
      </c>
      <c r="H33" s="65">
        <f t="shared" si="0"/>
        <v>88508214.428300008</v>
      </c>
      <c r="I33" s="68">
        <v>27</v>
      </c>
    </row>
    <row r="34" spans="1:10" ht="18.75" x14ac:dyDescent="0.3">
      <c r="A34" s="67">
        <v>28</v>
      </c>
      <c r="B34" s="65" t="s">
        <v>62</v>
      </c>
      <c r="C34" s="67">
        <v>18</v>
      </c>
      <c r="D34" s="65">
        <f>79327348.9808/2</f>
        <v>39663674.490400001</v>
      </c>
      <c r="E34" s="65">
        <f>8837418.2724/2</f>
        <v>4418709.1361999996</v>
      </c>
      <c r="F34" s="65">
        <f>447632.5209/2</f>
        <v>223816.26045</v>
      </c>
      <c r="G34" s="65">
        <f>71159.3393/2</f>
        <v>35579.669650000003</v>
      </c>
      <c r="H34" s="65">
        <f t="shared" si="0"/>
        <v>44341779.556699999</v>
      </c>
      <c r="I34" s="68">
        <v>28</v>
      </c>
    </row>
    <row r="35" spans="1:10" ht="18.75" x14ac:dyDescent="0.3">
      <c r="A35" s="67">
        <v>29</v>
      </c>
      <c r="B35" s="65" t="s">
        <v>63</v>
      </c>
      <c r="C35" s="67">
        <v>30</v>
      </c>
      <c r="D35" s="65">
        <v>77719150.655000001</v>
      </c>
      <c r="E35" s="65">
        <v>8658257.8510999996</v>
      </c>
      <c r="F35" s="65">
        <v>438557.69510000001</v>
      </c>
      <c r="G35" s="65">
        <v>69716.730500000005</v>
      </c>
      <c r="H35" s="65">
        <f t="shared" si="0"/>
        <v>86885682.931699991</v>
      </c>
      <c r="I35" s="68">
        <v>29</v>
      </c>
    </row>
    <row r="36" spans="1:10" ht="18.75" x14ac:dyDescent="0.3">
      <c r="A36" s="67">
        <v>30</v>
      </c>
      <c r="B36" s="65" t="s">
        <v>64</v>
      </c>
      <c r="C36" s="67">
        <v>33</v>
      </c>
      <c r="D36" s="65">
        <v>95579285.040299997</v>
      </c>
      <c r="E36" s="65">
        <v>10647955.9816</v>
      </c>
      <c r="F36" s="65">
        <v>539339.79720000003</v>
      </c>
      <c r="G36" s="65">
        <v>85737.880499999999</v>
      </c>
      <c r="H36" s="65">
        <f t="shared" si="0"/>
        <v>106852318.6996</v>
      </c>
      <c r="I36" s="68">
        <v>30</v>
      </c>
    </row>
    <row r="37" spans="1:10" ht="18.75" x14ac:dyDescent="0.3">
      <c r="A37" s="67">
        <v>31</v>
      </c>
      <c r="B37" s="65" t="s">
        <v>65</v>
      </c>
      <c r="C37" s="67">
        <v>17</v>
      </c>
      <c r="D37" s="65">
        <f>88987464.0815/2</f>
        <v>44493732.040749997</v>
      </c>
      <c r="E37" s="65">
        <f>9913597.9104/2</f>
        <v>4956798.9551999997</v>
      </c>
      <c r="F37" s="65">
        <f>502143.1243/2</f>
        <v>251071.56215000001</v>
      </c>
      <c r="G37" s="65">
        <f>79824.7922/2</f>
        <v>39912.396099999998</v>
      </c>
      <c r="H37" s="65">
        <f t="shared" si="0"/>
        <v>49741514.9542</v>
      </c>
      <c r="I37" s="68">
        <v>31</v>
      </c>
    </row>
    <row r="38" spans="1:10" ht="18.75" x14ac:dyDescent="0.3">
      <c r="A38" s="67">
        <v>32</v>
      </c>
      <c r="B38" s="65" t="s">
        <v>66</v>
      </c>
      <c r="C38" s="67">
        <v>23</v>
      </c>
      <c r="D38" s="65">
        <f>91902993.8822/2</f>
        <v>45951496.941100001</v>
      </c>
      <c r="E38" s="65">
        <f>10238400.8524/2</f>
        <v>5119200.4261999996</v>
      </c>
      <c r="F38" s="65">
        <f>518595.0287/2</f>
        <v>259297.51435000001</v>
      </c>
      <c r="G38" s="65">
        <f>82440.1219/2</f>
        <v>41220.060949999999</v>
      </c>
      <c r="H38" s="65">
        <f t="shared" si="0"/>
        <v>51371214.942600004</v>
      </c>
      <c r="I38" s="68">
        <v>32</v>
      </c>
    </row>
    <row r="39" spans="1:10" ht="18.75" x14ac:dyDescent="0.3">
      <c r="A39" s="67">
        <v>33</v>
      </c>
      <c r="B39" s="65" t="s">
        <v>67</v>
      </c>
      <c r="C39" s="67">
        <v>23</v>
      </c>
      <c r="D39" s="65">
        <v>93916516.544</v>
      </c>
      <c r="E39" s="65">
        <v>10462716.201300001</v>
      </c>
      <c r="F39" s="65">
        <v>529957.03989999997</v>
      </c>
      <c r="G39" s="65">
        <v>84246.320399999997</v>
      </c>
      <c r="H39" s="65">
        <f t="shared" si="0"/>
        <v>104993436.1056</v>
      </c>
      <c r="I39" s="68">
        <v>33</v>
      </c>
    </row>
    <row r="40" spans="1:10" ht="18.75" x14ac:dyDescent="0.3">
      <c r="A40" s="67">
        <v>34</v>
      </c>
      <c r="B40" s="65" t="s">
        <v>68</v>
      </c>
      <c r="C40" s="67">
        <v>16</v>
      </c>
      <c r="D40" s="65">
        <v>82086959.377499998</v>
      </c>
      <c r="E40" s="65">
        <v>9144851.1018000003</v>
      </c>
      <c r="F40" s="65">
        <v>463204.59490000003</v>
      </c>
      <c r="G40" s="65">
        <v>73634.804000000004</v>
      </c>
      <c r="H40" s="65">
        <f t="shared" si="0"/>
        <v>91768649.878199995</v>
      </c>
      <c r="I40" s="68">
        <v>34</v>
      </c>
    </row>
    <row r="41" spans="1:10" ht="18.75" x14ac:dyDescent="0.3">
      <c r="A41" s="67">
        <v>35</v>
      </c>
      <c r="B41" s="65" t="s">
        <v>69</v>
      </c>
      <c r="C41" s="67">
        <v>17</v>
      </c>
      <c r="D41" s="65">
        <v>84621117.657199994</v>
      </c>
      <c r="E41" s="65">
        <v>9427167.5660999995</v>
      </c>
      <c r="F41" s="65">
        <v>477504.47610000003</v>
      </c>
      <c r="G41" s="65">
        <v>75908.030400000003</v>
      </c>
      <c r="H41" s="65">
        <f t="shared" si="0"/>
        <v>94601697.729799986</v>
      </c>
      <c r="I41" s="68">
        <v>35</v>
      </c>
    </row>
    <row r="42" spans="1:10" ht="18.75" x14ac:dyDescent="0.3">
      <c r="A42" s="67">
        <v>36</v>
      </c>
      <c r="B42" s="65" t="s">
        <v>70</v>
      </c>
      <c r="C42" s="67">
        <v>14</v>
      </c>
      <c r="D42" s="65">
        <v>84801335.928900003</v>
      </c>
      <c r="E42" s="65">
        <v>9447244.6802999992</v>
      </c>
      <c r="F42" s="65">
        <v>478521.42119999998</v>
      </c>
      <c r="G42" s="65">
        <v>76069.6924</v>
      </c>
      <c r="H42" s="65">
        <f t="shared" si="0"/>
        <v>94803171.722800002</v>
      </c>
      <c r="I42" s="68">
        <v>36</v>
      </c>
    </row>
    <row r="43" spans="1:10" ht="18.75" x14ac:dyDescent="0.3">
      <c r="A43" s="67">
        <v>37</v>
      </c>
      <c r="B43" s="65" t="s">
        <v>130</v>
      </c>
      <c r="C43" s="67"/>
      <c r="D43" s="65">
        <f>D13+D27+D28+D29+D32+D37</f>
        <v>272760197.773</v>
      </c>
      <c r="E43" s="65">
        <f t="shared" ref="E43:G43" si="1">E13+E27+E28+E29+E32+E37</f>
        <v>30386694.964150004</v>
      </c>
      <c r="F43" s="65">
        <f t="shared" si="1"/>
        <v>1539145.5338499998</v>
      </c>
      <c r="G43" s="65">
        <f t="shared" si="1"/>
        <v>244675.20594999997</v>
      </c>
      <c r="H43" s="65">
        <f t="shared" si="0"/>
        <v>304930713.47695005</v>
      </c>
      <c r="I43" s="68">
        <v>37</v>
      </c>
    </row>
    <row r="44" spans="1:10" ht="18.75" x14ac:dyDescent="0.3">
      <c r="A44" s="67">
        <v>38</v>
      </c>
      <c r="B44" s="65" t="s">
        <v>131</v>
      </c>
      <c r="C44" s="67"/>
      <c r="D44" s="65">
        <f>D7+D9+D12+D15+D16+D18+D22+D34+D38</f>
        <v>376302891.3452</v>
      </c>
      <c r="E44" s="65">
        <f t="shared" ref="E44:G44" si="2">E7+E9+E12+E15+E16+E18+E22+E34+E38</f>
        <v>41921809.951750003</v>
      </c>
      <c r="F44" s="65">
        <f t="shared" si="2"/>
        <v>2123421.6701499997</v>
      </c>
      <c r="G44" s="65">
        <f t="shared" si="2"/>
        <v>337556.5356</v>
      </c>
      <c r="H44" s="65">
        <f t="shared" si="0"/>
        <v>420685679.50269997</v>
      </c>
      <c r="I44" s="68">
        <v>38</v>
      </c>
    </row>
    <row r="45" spans="1:10" ht="19.5" x14ac:dyDescent="0.35">
      <c r="A45" s="67"/>
      <c r="B45" s="69" t="s">
        <v>120</v>
      </c>
      <c r="C45" s="65"/>
      <c r="D45" s="70">
        <f>SUM(D7:D44)</f>
        <v>3231469276.7416997</v>
      </c>
      <c r="E45" s="70">
        <f t="shared" ref="E45:H45" si="3">SUM(E7:E44)</f>
        <v>360000000.00019997</v>
      </c>
      <c r="F45" s="70">
        <f t="shared" si="3"/>
        <v>18234704.132699996</v>
      </c>
      <c r="G45" s="70">
        <f t="shared" si="3"/>
        <v>2898738.2221000004</v>
      </c>
      <c r="H45" s="70">
        <f t="shared" si="3"/>
        <v>3612602719.0966997</v>
      </c>
      <c r="I45" s="68"/>
    </row>
    <row r="46" spans="1:10" ht="18.75" x14ac:dyDescent="0.3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10" x14ac:dyDescent="0.2">
      <c r="A47" s="110"/>
      <c r="B47" s="110"/>
      <c r="C47" s="110"/>
      <c r="D47" s="110"/>
      <c r="E47" s="110"/>
      <c r="F47" s="110"/>
      <c r="G47" s="110"/>
      <c r="H47" s="110"/>
      <c r="I47" s="110"/>
    </row>
    <row r="48" spans="1:10" ht="23.25" x14ac:dyDescent="0.35">
      <c r="A48" s="101" t="s">
        <v>121</v>
      </c>
      <c r="B48" s="101"/>
      <c r="C48" s="101"/>
      <c r="D48" s="101"/>
      <c r="E48" s="101"/>
      <c r="F48" s="101"/>
      <c r="G48" s="101"/>
      <c r="H48" s="101"/>
      <c r="I48" s="101"/>
      <c r="J48" s="14"/>
    </row>
    <row r="50" spans="8:8" x14ac:dyDescent="0.2">
      <c r="H50" s="14"/>
    </row>
  </sheetData>
  <mergeCells count="6">
    <mergeCell ref="A48:I48"/>
    <mergeCell ref="A1:I1"/>
    <mergeCell ref="A2:I2"/>
    <mergeCell ref="A3:I3"/>
    <mergeCell ref="A46:I46"/>
    <mergeCell ref="A47:I47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9ABB-D29F-4FFD-BF48-8F4E4B82F708}">
  <dimension ref="A1:M55"/>
  <sheetViews>
    <sheetView tabSelected="1" topLeftCell="B5" workbookViewId="0">
      <pane xSplit="2" ySplit="2" topLeftCell="D7" activePane="bottomRight" state="frozen"/>
      <selection activeCell="B5" sqref="B5"/>
      <selection pane="topRight" activeCell="D5" sqref="D5"/>
      <selection pane="bottomLeft" activeCell="B7" sqref="B7"/>
      <selection pane="bottomRight" sqref="A1:L1"/>
    </sheetView>
  </sheetViews>
  <sheetFormatPr defaultRowHeight="12.75" x14ac:dyDescent="0.2"/>
  <cols>
    <col min="2" max="2" width="24.140625" customWidth="1"/>
    <col min="4" max="4" width="24.85546875" bestFit="1" customWidth="1"/>
    <col min="5" max="5" width="26" customWidth="1"/>
    <col min="6" max="6" width="24.85546875" bestFit="1" customWidth="1"/>
    <col min="7" max="8" width="23.42578125" bestFit="1" customWidth="1"/>
    <col min="9" max="9" width="23.42578125" customWidth="1"/>
    <col min="10" max="10" width="24.85546875" bestFit="1" customWidth="1"/>
    <col min="11" max="11" width="26.140625" customWidth="1"/>
    <col min="12" max="12" width="8.42578125" customWidth="1"/>
    <col min="13" max="13" width="15" bestFit="1" customWidth="1"/>
  </cols>
  <sheetData>
    <row r="1" spans="1:13" ht="30" customHeight="1" x14ac:dyDescent="0.35">
      <c r="A1" s="102" t="s">
        <v>116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25.5" x14ac:dyDescent="0.35">
      <c r="A2" s="103" t="s">
        <v>125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3" ht="49.5" customHeight="1" x14ac:dyDescent="0.3">
      <c r="A3" s="111" t="s">
        <v>137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3" ht="58.5" x14ac:dyDescent="0.35">
      <c r="A4" s="57"/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/>
      <c r="J4" s="58">
        <v>9</v>
      </c>
      <c r="K4" s="72" t="s">
        <v>126</v>
      </c>
      <c r="L4" s="60"/>
    </row>
    <row r="5" spans="1:13" ht="71.25" customHeight="1" x14ac:dyDescent="0.25">
      <c r="A5" s="61" t="s">
        <v>0</v>
      </c>
      <c r="B5" s="61" t="s">
        <v>20</v>
      </c>
      <c r="C5" s="62" t="s">
        <v>1</v>
      </c>
      <c r="D5" s="63" t="s">
        <v>7</v>
      </c>
      <c r="E5" s="73" t="s">
        <v>112</v>
      </c>
      <c r="F5" s="74" t="s">
        <v>104</v>
      </c>
      <c r="G5" s="75" t="s">
        <v>127</v>
      </c>
      <c r="H5" s="74" t="s">
        <v>103</v>
      </c>
      <c r="I5" s="74" t="s">
        <v>136</v>
      </c>
      <c r="J5" s="76" t="s">
        <v>10</v>
      </c>
      <c r="K5" s="76" t="s">
        <v>13</v>
      </c>
      <c r="L5" s="61" t="s">
        <v>0</v>
      </c>
    </row>
    <row r="6" spans="1:13" ht="18.75" x14ac:dyDescent="0.3">
      <c r="A6" s="65"/>
      <c r="B6" s="65"/>
      <c r="C6" s="65"/>
      <c r="D6" s="66" t="s">
        <v>98</v>
      </c>
      <c r="E6" s="66" t="s">
        <v>98</v>
      </c>
      <c r="F6" s="66" t="s">
        <v>98</v>
      </c>
      <c r="G6" s="66" t="s">
        <v>98</v>
      </c>
      <c r="H6" s="66" t="s">
        <v>98</v>
      </c>
      <c r="I6" s="66" t="s">
        <v>98</v>
      </c>
      <c r="J6" s="66" t="s">
        <v>98</v>
      </c>
      <c r="K6" s="66" t="s">
        <v>98</v>
      </c>
      <c r="L6" s="65"/>
    </row>
    <row r="7" spans="1:13" ht="34.5" customHeight="1" x14ac:dyDescent="0.3">
      <c r="A7" s="67">
        <v>1</v>
      </c>
      <c r="B7" s="65" t="s">
        <v>35</v>
      </c>
      <c r="C7" s="67">
        <v>17</v>
      </c>
      <c r="D7" s="65">
        <v>1863136744.9605</v>
      </c>
      <c r="E7" s="65">
        <f>-120243229.283</f>
        <v>-120243229.28300001</v>
      </c>
      <c r="F7" s="65">
        <v>207561691.21380001</v>
      </c>
      <c r="G7" s="65">
        <v>10513405.6349</v>
      </c>
      <c r="H7" s="65">
        <v>1671297.2438000001</v>
      </c>
      <c r="I7" s="65">
        <v>31243247.087650001</v>
      </c>
      <c r="J7" s="77">
        <v>1003385871.1274</v>
      </c>
      <c r="K7" s="65">
        <f t="shared" ref="K7:K45" si="0">SUM(D7:J7)</f>
        <v>2997269027.9850502</v>
      </c>
      <c r="L7" s="68">
        <v>1</v>
      </c>
      <c r="M7" s="15">
        <f>169544939.81-55894102.35</f>
        <v>113650837.46000001</v>
      </c>
    </row>
    <row r="8" spans="1:13" ht="18.75" x14ac:dyDescent="0.3">
      <c r="A8" s="67">
        <v>2</v>
      </c>
      <c r="B8" s="65" t="s">
        <v>36</v>
      </c>
      <c r="C8" s="67">
        <v>21</v>
      </c>
      <c r="D8" s="65">
        <v>2350079600.0762</v>
      </c>
      <c r="E8" s="65">
        <f>-148707567.1019</f>
        <v>-148707567.10190001</v>
      </c>
      <c r="F8" s="65">
        <v>261809283.5097</v>
      </c>
      <c r="G8" s="65">
        <v>13261152.289000001</v>
      </c>
      <c r="H8" s="65">
        <v>2108101.6030999999</v>
      </c>
      <c r="I8" s="65">
        <v>78817744.128900006</v>
      </c>
      <c r="J8" s="77">
        <v>1253803993.5773001</v>
      </c>
      <c r="K8" s="65">
        <f t="shared" si="0"/>
        <v>3811172308.0822997</v>
      </c>
      <c r="L8" s="68">
        <v>2</v>
      </c>
    </row>
    <row r="9" spans="1:13" ht="18.75" x14ac:dyDescent="0.3">
      <c r="A9" s="67">
        <v>3</v>
      </c>
      <c r="B9" s="65" t="s">
        <v>37</v>
      </c>
      <c r="C9" s="67">
        <v>31</v>
      </c>
      <c r="D9" s="65">
        <v>3130167930.1553001</v>
      </c>
      <c r="E9" s="65">
        <f>-218321210.5018</f>
        <v>-218321210.5018</v>
      </c>
      <c r="F9" s="65">
        <v>348714581.00050002</v>
      </c>
      <c r="G9" s="65">
        <v>17663075.586800002</v>
      </c>
      <c r="H9" s="65">
        <v>2807867.4567</v>
      </c>
      <c r="I9" s="65">
        <v>52490301.813199997</v>
      </c>
      <c r="J9" s="77">
        <v>1755418309.5604</v>
      </c>
      <c r="K9" s="65">
        <f t="shared" si="0"/>
        <v>5088940855.0711002</v>
      </c>
      <c r="L9" s="68">
        <v>3</v>
      </c>
    </row>
    <row r="10" spans="1:13" ht="18.75" x14ac:dyDescent="0.3">
      <c r="A10" s="67">
        <v>4</v>
      </c>
      <c r="B10" s="65" t="s">
        <v>38</v>
      </c>
      <c r="C10" s="67">
        <v>21</v>
      </c>
      <c r="D10" s="65">
        <v>2362779679.3894</v>
      </c>
      <c r="E10" s="65">
        <f>-148752504.1678</f>
        <v>-148752504.16780001</v>
      </c>
      <c r="F10" s="65">
        <v>263224128.63460001</v>
      </c>
      <c r="G10" s="65">
        <v>13332816.961999999</v>
      </c>
      <c r="H10" s="65">
        <v>2119494.0071</v>
      </c>
      <c r="I10" s="65">
        <v>79243683.570499986</v>
      </c>
      <c r="J10" s="77">
        <v>1392798731.3017001</v>
      </c>
      <c r="K10" s="65">
        <f t="shared" si="0"/>
        <v>3964746029.6975002</v>
      </c>
      <c r="L10" s="68">
        <v>4</v>
      </c>
    </row>
    <row r="11" spans="1:13" ht="18.75" x14ac:dyDescent="0.3">
      <c r="A11" s="67">
        <v>5</v>
      </c>
      <c r="B11" s="65" t="s">
        <v>39</v>
      </c>
      <c r="C11" s="67">
        <v>20</v>
      </c>
      <c r="D11" s="65">
        <v>2682222500.7428002</v>
      </c>
      <c r="E11" s="65">
        <f>-143197454.7662</f>
        <v>-143197454.76620001</v>
      </c>
      <c r="F11" s="65">
        <v>298811474.77310002</v>
      </c>
      <c r="G11" s="65">
        <v>15135385.6501</v>
      </c>
      <c r="H11" s="65">
        <v>2406045.1197000002</v>
      </c>
      <c r="I11" s="65">
        <v>89957262.185199991</v>
      </c>
      <c r="J11" s="77">
        <v>1377973752.9807999</v>
      </c>
      <c r="K11" s="65">
        <f t="shared" si="0"/>
        <v>4323308966.6855001</v>
      </c>
      <c r="L11" s="68">
        <v>5</v>
      </c>
    </row>
    <row r="12" spans="1:13" ht="18.75" x14ac:dyDescent="0.3">
      <c r="A12" s="67">
        <v>6</v>
      </c>
      <c r="B12" s="65" t="s">
        <v>40</v>
      </c>
      <c r="C12" s="67">
        <v>8</v>
      </c>
      <c r="D12" s="65">
        <v>1091762736.0857999</v>
      </c>
      <c r="E12" s="65">
        <f>-57345763.404</f>
        <v>-57345763.403999999</v>
      </c>
      <c r="F12" s="65">
        <v>121627207.7286</v>
      </c>
      <c r="G12" s="65">
        <v>6160655.9649999999</v>
      </c>
      <c r="H12" s="65">
        <v>979348.43290000001</v>
      </c>
      <c r="I12" s="65">
        <v>18307949.222350001</v>
      </c>
      <c r="J12" s="77">
        <v>588019884.91419995</v>
      </c>
      <c r="K12" s="65">
        <f t="shared" si="0"/>
        <v>1769512018.9448495</v>
      </c>
      <c r="L12" s="68">
        <v>6</v>
      </c>
    </row>
    <row r="13" spans="1:13" ht="18.75" x14ac:dyDescent="0.3">
      <c r="A13" s="67">
        <v>7</v>
      </c>
      <c r="B13" s="65" t="s">
        <v>41</v>
      </c>
      <c r="C13" s="67">
        <v>23</v>
      </c>
      <c r="D13" s="65">
        <v>2918673204.9915004</v>
      </c>
      <c r="E13" s="65">
        <f>-303628623.9434</f>
        <v>-303628623.94340003</v>
      </c>
      <c r="F13" s="65">
        <v>325153131.22689998</v>
      </c>
      <c r="G13" s="65">
        <v>16469642.071699999</v>
      </c>
      <c r="H13" s="65">
        <v>2618149.4706000001</v>
      </c>
      <c r="I13" s="65">
        <v>48943711.918049999</v>
      </c>
      <c r="J13" s="77">
        <v>1417374597.5448</v>
      </c>
      <c r="K13" s="65">
        <f t="shared" si="0"/>
        <v>4425603813.2801504</v>
      </c>
      <c r="L13" s="68">
        <v>7</v>
      </c>
    </row>
    <row r="14" spans="1:13" ht="18.75" x14ac:dyDescent="0.3">
      <c r="A14" s="67">
        <v>8</v>
      </c>
      <c r="B14" s="65" t="s">
        <v>42</v>
      </c>
      <c r="C14" s="67">
        <v>27</v>
      </c>
      <c r="D14" s="65">
        <v>3168804444.0183001</v>
      </c>
      <c r="E14" s="65">
        <f>-191716545.7003</f>
        <v>-191716545.70030001</v>
      </c>
      <c r="F14" s="65">
        <v>353018859.8908</v>
      </c>
      <c r="G14" s="65">
        <v>17881095.731699999</v>
      </c>
      <c r="H14" s="65">
        <v>2842525.7283000001</v>
      </c>
      <c r="I14" s="65">
        <v>106276407.76419999</v>
      </c>
      <c r="J14" s="77">
        <v>1585028969.4937999</v>
      </c>
      <c r="K14" s="65">
        <f t="shared" si="0"/>
        <v>5042135756.9267998</v>
      </c>
      <c r="L14" s="68">
        <v>8</v>
      </c>
    </row>
    <row r="15" spans="1:13" ht="18.75" x14ac:dyDescent="0.3">
      <c r="A15" s="67">
        <v>9</v>
      </c>
      <c r="B15" s="65" t="s">
        <v>43</v>
      </c>
      <c r="C15" s="67">
        <v>18</v>
      </c>
      <c r="D15" s="65">
        <v>2042828420.6919</v>
      </c>
      <c r="E15" s="65">
        <f>-166115647.2109</f>
        <v>-166115647.21090001</v>
      </c>
      <c r="F15" s="65">
        <v>227580140.32249999</v>
      </c>
      <c r="G15" s="65">
        <v>11527379.2368</v>
      </c>
      <c r="H15" s="65">
        <v>1832486.8093000001</v>
      </c>
      <c r="I15" s="65">
        <v>34256526.405949995</v>
      </c>
      <c r="J15" s="77">
        <v>1052677922.0008</v>
      </c>
      <c r="K15" s="65">
        <f t="shared" si="0"/>
        <v>3204587228.25635</v>
      </c>
      <c r="L15" s="68">
        <v>9</v>
      </c>
    </row>
    <row r="16" spans="1:13" ht="18.75" x14ac:dyDescent="0.3">
      <c r="A16" s="67">
        <v>10</v>
      </c>
      <c r="B16" s="65" t="s">
        <v>44</v>
      </c>
      <c r="C16" s="67">
        <v>25</v>
      </c>
      <c r="D16" s="65">
        <v>2617591634.6477003</v>
      </c>
      <c r="E16" s="65">
        <f>-176395486.3626</f>
        <v>-176395486.3626</v>
      </c>
      <c r="F16" s="65">
        <v>291611309.83219999</v>
      </c>
      <c r="G16" s="65">
        <v>14770683.212099999</v>
      </c>
      <c r="H16" s="65">
        <v>2348069.0274999999</v>
      </c>
      <c r="I16" s="65">
        <v>43894825.453500003</v>
      </c>
      <c r="J16" s="77">
        <v>1558434746.6115999</v>
      </c>
      <c r="K16" s="65">
        <f t="shared" si="0"/>
        <v>4352255782.4220009</v>
      </c>
      <c r="L16" s="68">
        <v>10</v>
      </c>
    </row>
    <row r="17" spans="1:12" ht="18.75" x14ac:dyDescent="0.3">
      <c r="A17" s="67">
        <v>11</v>
      </c>
      <c r="B17" s="65" t="s">
        <v>45</v>
      </c>
      <c r="C17" s="67">
        <v>13</v>
      </c>
      <c r="D17" s="65">
        <v>1511152810.7196999</v>
      </c>
      <c r="E17" s="65">
        <f>-138582925.0631</f>
        <v>-138582925.06310001</v>
      </c>
      <c r="F17" s="65">
        <v>168349120.8705</v>
      </c>
      <c r="G17" s="65">
        <v>8527212.2501999997</v>
      </c>
      <c r="H17" s="65">
        <v>1355555.6425000001</v>
      </c>
      <c r="I17" s="65">
        <v>50681540.988300003</v>
      </c>
      <c r="J17" s="77">
        <v>817204046.39119995</v>
      </c>
      <c r="K17" s="65">
        <f t="shared" si="0"/>
        <v>2418687361.7992997</v>
      </c>
      <c r="L17" s="68">
        <v>11</v>
      </c>
    </row>
    <row r="18" spans="1:12" ht="18.75" x14ac:dyDescent="0.3">
      <c r="A18" s="67">
        <v>12</v>
      </c>
      <c r="B18" s="65" t="s">
        <v>46</v>
      </c>
      <c r="C18" s="67">
        <v>18</v>
      </c>
      <c r="D18" s="65">
        <v>2002811893.6301</v>
      </c>
      <c r="E18" s="65">
        <f>-127422789.3701</f>
        <v>-127422789.37010001</v>
      </c>
      <c r="F18" s="65">
        <v>223122121.84630001</v>
      </c>
      <c r="G18" s="65">
        <v>11301571.8813</v>
      </c>
      <c r="H18" s="65">
        <v>1796590.6188999999</v>
      </c>
      <c r="I18" s="65">
        <v>33585482.671949998</v>
      </c>
      <c r="J18" s="77">
        <v>1204472217.9419999</v>
      </c>
      <c r="K18" s="65">
        <f t="shared" si="0"/>
        <v>3349667089.2204499</v>
      </c>
      <c r="L18" s="68">
        <v>12</v>
      </c>
    </row>
    <row r="19" spans="1:12" ht="18.75" x14ac:dyDescent="0.3">
      <c r="A19" s="67">
        <v>13</v>
      </c>
      <c r="B19" s="65" t="s">
        <v>47</v>
      </c>
      <c r="C19" s="67">
        <v>16</v>
      </c>
      <c r="D19" s="65">
        <v>1590305274.2121999</v>
      </c>
      <c r="E19" s="65">
        <f>-112592518.2443</f>
        <v>-112592518.24429999</v>
      </c>
      <c r="F19" s="65">
        <v>177167056.1243</v>
      </c>
      <c r="G19" s="65">
        <v>8973857.9177999999</v>
      </c>
      <c r="H19" s="65">
        <v>1426558.1033999999</v>
      </c>
      <c r="I19" s="65">
        <v>53336182.387099996</v>
      </c>
      <c r="J19" s="77">
        <v>912350036.31560004</v>
      </c>
      <c r="K19" s="65">
        <f t="shared" si="0"/>
        <v>2630966446.8161001</v>
      </c>
      <c r="L19" s="68">
        <v>13</v>
      </c>
    </row>
    <row r="20" spans="1:12" ht="18.75" x14ac:dyDescent="0.3">
      <c r="A20" s="67">
        <v>14</v>
      </c>
      <c r="B20" s="65" t="s">
        <v>48</v>
      </c>
      <c r="C20" s="67">
        <v>17</v>
      </c>
      <c r="D20" s="65">
        <v>2034886659.7369001</v>
      </c>
      <c r="E20" s="65">
        <f>-120850937.0834</f>
        <v>-120850937.0834</v>
      </c>
      <c r="F20" s="65">
        <v>226695392.9524</v>
      </c>
      <c r="G20" s="65">
        <v>11482565.051999999</v>
      </c>
      <c r="H20" s="65">
        <v>1825362.7789</v>
      </c>
      <c r="I20" s="65">
        <v>68246699.416800007</v>
      </c>
      <c r="J20" s="77">
        <v>1110202464.7967999</v>
      </c>
      <c r="K20" s="65">
        <f t="shared" si="0"/>
        <v>3332488207.6504002</v>
      </c>
      <c r="L20" s="68">
        <v>14</v>
      </c>
    </row>
    <row r="21" spans="1:12" ht="18.75" x14ac:dyDescent="0.3">
      <c r="A21" s="67">
        <v>15</v>
      </c>
      <c r="B21" s="65" t="s">
        <v>49</v>
      </c>
      <c r="C21" s="67">
        <v>11</v>
      </c>
      <c r="D21" s="65">
        <v>1394305760.4705</v>
      </c>
      <c r="E21" s="65">
        <f>-132455847.9009</f>
        <v>-132455847.90090001</v>
      </c>
      <c r="F21" s="65">
        <v>155331841.58109999</v>
      </c>
      <c r="G21" s="65">
        <v>7867861.5933999997</v>
      </c>
      <c r="H21" s="65">
        <v>1250739.8511000001</v>
      </c>
      <c r="I21" s="65">
        <v>46762686.1074</v>
      </c>
      <c r="J21" s="77">
        <v>756549061.07700002</v>
      </c>
      <c r="K21" s="65">
        <f t="shared" si="0"/>
        <v>2229612102.7796001</v>
      </c>
      <c r="L21" s="68">
        <v>15</v>
      </c>
    </row>
    <row r="22" spans="1:12" ht="18.75" x14ac:dyDescent="0.3">
      <c r="A22" s="67">
        <v>16</v>
      </c>
      <c r="B22" s="65" t="s">
        <v>50</v>
      </c>
      <c r="C22" s="67">
        <v>27</v>
      </c>
      <c r="D22" s="65">
        <v>2727200780.8044</v>
      </c>
      <c r="E22" s="65">
        <f>-190154006.4044</f>
        <v>-190154006.40439999</v>
      </c>
      <c r="F22" s="65">
        <v>303822254.5255</v>
      </c>
      <c r="G22" s="65">
        <v>15389191.445</v>
      </c>
      <c r="H22" s="65">
        <v>2446392.1719999998</v>
      </c>
      <c r="I22" s="65">
        <v>45732879.286349997</v>
      </c>
      <c r="J22" s="77">
        <v>1511530791.6471</v>
      </c>
      <c r="K22" s="65">
        <f t="shared" si="0"/>
        <v>4415968283.4759502</v>
      </c>
      <c r="L22" s="68">
        <v>16</v>
      </c>
    </row>
    <row r="23" spans="1:12" ht="18.75" x14ac:dyDescent="0.3">
      <c r="A23" s="67">
        <v>17</v>
      </c>
      <c r="B23" s="65" t="s">
        <v>51</v>
      </c>
      <c r="C23" s="67">
        <v>27</v>
      </c>
      <c r="D23" s="65">
        <v>2865181194.8717999</v>
      </c>
      <c r="E23" s="65">
        <f>-190642226.5822</f>
        <v>-190642226.58219999</v>
      </c>
      <c r="F23" s="65">
        <v>319193884.21160001</v>
      </c>
      <c r="G23" s="65">
        <v>16167794.554400001</v>
      </c>
      <c r="H23" s="65">
        <v>2570165.3122</v>
      </c>
      <c r="I23" s="65">
        <v>96093391.172100008</v>
      </c>
      <c r="J23" s="77">
        <v>1595286871.3642001</v>
      </c>
      <c r="K23" s="65">
        <f t="shared" si="0"/>
        <v>4703851074.9041004</v>
      </c>
      <c r="L23" s="68">
        <v>17</v>
      </c>
    </row>
    <row r="24" spans="1:12" ht="18.75" x14ac:dyDescent="0.3">
      <c r="A24" s="67">
        <v>18</v>
      </c>
      <c r="B24" s="65" t="s">
        <v>52</v>
      </c>
      <c r="C24" s="67">
        <v>23</v>
      </c>
      <c r="D24" s="65">
        <v>3222167557.7460999</v>
      </c>
      <c r="E24" s="65">
        <f>-165163988.4635</f>
        <v>-165163988.46349999</v>
      </c>
      <c r="F24" s="65">
        <v>358963747.27670002</v>
      </c>
      <c r="G24" s="65">
        <v>18182215.905099999</v>
      </c>
      <c r="H24" s="65">
        <v>2890394.2631000001</v>
      </c>
      <c r="I24" s="65">
        <v>108066117.45760001</v>
      </c>
      <c r="J24" s="77">
        <v>1814129890.1062</v>
      </c>
      <c r="K24" s="65">
        <f t="shared" si="0"/>
        <v>5359235934.2912998</v>
      </c>
      <c r="L24" s="68">
        <v>18</v>
      </c>
    </row>
    <row r="25" spans="1:12" ht="18.75" x14ac:dyDescent="0.3">
      <c r="A25" s="67">
        <v>19</v>
      </c>
      <c r="B25" s="65" t="s">
        <v>53</v>
      </c>
      <c r="C25" s="67">
        <v>44</v>
      </c>
      <c r="D25" s="65">
        <v>5129966910.1508999</v>
      </c>
      <c r="E25" s="65">
        <f>-824971067.3305</f>
        <v>-824971067.33050001</v>
      </c>
      <c r="F25" s="65">
        <v>571501050.91390002</v>
      </c>
      <c r="G25" s="65">
        <v>28947646.0414</v>
      </c>
      <c r="H25" s="65">
        <v>4601755.3896000003</v>
      </c>
      <c r="I25" s="65">
        <v>172050520.87769997</v>
      </c>
      <c r="J25" s="77">
        <v>3111343725.7821002</v>
      </c>
      <c r="K25" s="65">
        <f t="shared" si="0"/>
        <v>8193440541.8250999</v>
      </c>
      <c r="L25" s="68">
        <v>19</v>
      </c>
    </row>
    <row r="26" spans="1:12" ht="18.75" x14ac:dyDescent="0.3">
      <c r="A26" s="67">
        <v>20</v>
      </c>
      <c r="B26" s="65" t="s">
        <v>54</v>
      </c>
      <c r="C26" s="67">
        <v>34</v>
      </c>
      <c r="D26" s="65">
        <v>3905531128.0783</v>
      </c>
      <c r="E26" s="65">
        <f>-241120731.1663</f>
        <v>-241120731.1663</v>
      </c>
      <c r="F26" s="65">
        <v>435093477.82669997</v>
      </c>
      <c r="G26" s="65">
        <v>22038335.661699999</v>
      </c>
      <c r="H26" s="65">
        <v>3503394.7059999998</v>
      </c>
      <c r="I26" s="65">
        <v>130984990.0838</v>
      </c>
      <c r="J26" s="77">
        <v>2130771694.3347001</v>
      </c>
      <c r="K26" s="65">
        <f t="shared" si="0"/>
        <v>6386802289.5248995</v>
      </c>
      <c r="L26" s="68">
        <v>20</v>
      </c>
    </row>
    <row r="27" spans="1:12" ht="18.75" x14ac:dyDescent="0.3">
      <c r="A27" s="67">
        <v>21</v>
      </c>
      <c r="B27" s="65" t="s">
        <v>55</v>
      </c>
      <c r="C27" s="67">
        <v>21</v>
      </c>
      <c r="D27" s="65">
        <v>2464809358.1545</v>
      </c>
      <c r="E27" s="65">
        <f>-149113518.7974</f>
        <v>-149113518.7974</v>
      </c>
      <c r="F27" s="65">
        <v>274590687.06639999</v>
      </c>
      <c r="G27" s="65">
        <v>13908555.3784</v>
      </c>
      <c r="H27" s="65">
        <v>2211018.1107999999</v>
      </c>
      <c r="I27" s="65">
        <v>41332794.279899999</v>
      </c>
      <c r="J27" s="77">
        <v>1208502491.9037001</v>
      </c>
      <c r="K27" s="65">
        <f t="shared" si="0"/>
        <v>3856241386.0963001</v>
      </c>
      <c r="L27" s="68">
        <v>21</v>
      </c>
    </row>
    <row r="28" spans="1:12" ht="18.75" x14ac:dyDescent="0.3">
      <c r="A28" s="67">
        <v>22</v>
      </c>
      <c r="B28" s="65" t="s">
        <v>56</v>
      </c>
      <c r="C28" s="67">
        <v>21</v>
      </c>
      <c r="D28" s="65">
        <v>2547561015.2771997</v>
      </c>
      <c r="E28" s="65">
        <f>-336549320.2012</f>
        <v>-336549320.20120001</v>
      </c>
      <c r="F28" s="65">
        <v>283809588.44340003</v>
      </c>
      <c r="G28" s="65">
        <v>14375510.765000001</v>
      </c>
      <c r="H28" s="65">
        <v>2285249.1716</v>
      </c>
      <c r="I28" s="65">
        <v>42720470.453099996</v>
      </c>
      <c r="J28" s="77">
        <v>1222609778.9381001</v>
      </c>
      <c r="K28" s="65">
        <f t="shared" si="0"/>
        <v>3776812292.8471994</v>
      </c>
      <c r="L28" s="68">
        <v>22</v>
      </c>
    </row>
    <row r="29" spans="1:12" ht="18.75" x14ac:dyDescent="0.3">
      <c r="A29" s="67">
        <v>23</v>
      </c>
      <c r="B29" s="65" t="s">
        <v>57</v>
      </c>
      <c r="C29" s="67">
        <v>16</v>
      </c>
      <c r="D29" s="65">
        <v>1802666262.3840001</v>
      </c>
      <c r="E29" s="65">
        <f>-113343921.4069</f>
        <v>-113343921.4069</v>
      </c>
      <c r="F29" s="65">
        <v>200825011.4364</v>
      </c>
      <c r="G29" s="65">
        <v>10172179.627699999</v>
      </c>
      <c r="H29" s="65">
        <v>1617053.1571</v>
      </c>
      <c r="I29" s="65">
        <v>30229207.597600002</v>
      </c>
      <c r="J29" s="77">
        <v>930577650.2651</v>
      </c>
      <c r="K29" s="65">
        <f t="shared" si="0"/>
        <v>2862743443.0609999</v>
      </c>
      <c r="L29" s="68">
        <v>23</v>
      </c>
    </row>
    <row r="30" spans="1:12" ht="18.75" x14ac:dyDescent="0.3">
      <c r="A30" s="67">
        <v>24</v>
      </c>
      <c r="B30" s="65" t="s">
        <v>58</v>
      </c>
      <c r="C30" s="67">
        <v>20</v>
      </c>
      <c r="D30" s="65">
        <v>3070835106.4170003</v>
      </c>
      <c r="E30" s="65">
        <f>-144572494.2372</f>
        <v>-144572494.23719999</v>
      </c>
      <c r="F30" s="65">
        <v>342104641.4605</v>
      </c>
      <c r="G30" s="65">
        <v>17328269.220800001</v>
      </c>
      <c r="H30" s="65">
        <v>2754643.8892999999</v>
      </c>
      <c r="I30" s="65">
        <v>102990679.82589999</v>
      </c>
      <c r="J30" s="77">
        <v>6900320638.9499998</v>
      </c>
      <c r="K30" s="65">
        <f t="shared" si="0"/>
        <v>10291761485.5263</v>
      </c>
      <c r="L30" s="68">
        <v>24</v>
      </c>
    </row>
    <row r="31" spans="1:12" ht="18.75" x14ac:dyDescent="0.3">
      <c r="A31" s="67">
        <v>25</v>
      </c>
      <c r="B31" s="65" t="s">
        <v>59</v>
      </c>
      <c r="C31" s="67">
        <v>13</v>
      </c>
      <c r="D31" s="65">
        <v>1608289003.4607</v>
      </c>
      <c r="E31" s="65">
        <f>-84924290.6148</f>
        <v>-84924290.614800006</v>
      </c>
      <c r="F31" s="65">
        <v>179170523.2705</v>
      </c>
      <c r="G31" s="65">
        <v>9075337.4478999991</v>
      </c>
      <c r="H31" s="65">
        <v>1442690.1225000001</v>
      </c>
      <c r="I31" s="65">
        <v>53939326.630499996</v>
      </c>
      <c r="J31" s="77">
        <v>737002316.2313</v>
      </c>
      <c r="K31" s="65">
        <f t="shared" si="0"/>
        <v>2503994906.5486002</v>
      </c>
      <c r="L31" s="68">
        <v>25</v>
      </c>
    </row>
    <row r="32" spans="1:12" ht="18.75" x14ac:dyDescent="0.3">
      <c r="A32" s="67">
        <v>26</v>
      </c>
      <c r="B32" s="65" t="s">
        <v>60</v>
      </c>
      <c r="C32" s="67">
        <v>25</v>
      </c>
      <c r="D32" s="65">
        <v>2976818886.6017003</v>
      </c>
      <c r="E32" s="65">
        <f>-177666550.7673</f>
        <v>-177666550.76730001</v>
      </c>
      <c r="F32" s="65">
        <v>331630817.87290001</v>
      </c>
      <c r="G32" s="65">
        <v>16797749.569699999</v>
      </c>
      <c r="H32" s="65">
        <v>2670308.1318000001</v>
      </c>
      <c r="I32" s="65">
        <v>49918766.434649996</v>
      </c>
      <c r="J32" s="77">
        <v>1505299350.7393999</v>
      </c>
      <c r="K32" s="65">
        <f t="shared" si="0"/>
        <v>4705469328.5828495</v>
      </c>
      <c r="L32" s="68">
        <v>26</v>
      </c>
    </row>
    <row r="33" spans="1:12" ht="18.75" x14ac:dyDescent="0.3">
      <c r="A33" s="67">
        <v>27</v>
      </c>
      <c r="B33" s="65" t="s">
        <v>61</v>
      </c>
      <c r="C33" s="67">
        <v>20</v>
      </c>
      <c r="D33" s="65">
        <v>2123651830.6089001</v>
      </c>
      <c r="E33" s="65">
        <v>256997998.05149999</v>
      </c>
      <c r="F33" s="65">
        <v>236584226.41440001</v>
      </c>
      <c r="G33" s="65">
        <v>11983453.808800001</v>
      </c>
      <c r="H33" s="65">
        <v>1904988.1662999999</v>
      </c>
      <c r="I33" s="65">
        <v>71223734.967500001</v>
      </c>
      <c r="J33" s="77">
        <v>1308893356.7111001</v>
      </c>
      <c r="K33" s="65">
        <f t="shared" si="0"/>
        <v>4011239588.7285004</v>
      </c>
      <c r="L33" s="68">
        <v>27</v>
      </c>
    </row>
    <row r="34" spans="1:12" ht="18.75" x14ac:dyDescent="0.3">
      <c r="A34" s="67">
        <v>28</v>
      </c>
      <c r="B34" s="65" t="s">
        <v>62</v>
      </c>
      <c r="C34" s="67">
        <v>18</v>
      </c>
      <c r="D34" s="65">
        <v>2028221828.6342001</v>
      </c>
      <c r="E34" s="65">
        <v>174689824.91499999</v>
      </c>
      <c r="F34" s="65">
        <v>225952901.22780001</v>
      </c>
      <c r="G34" s="65">
        <v>11444956.3938</v>
      </c>
      <c r="H34" s="65">
        <v>1819384.1976999999</v>
      </c>
      <c r="I34" s="65">
        <v>34011586.05855</v>
      </c>
      <c r="J34" s="77">
        <v>1161431747.1441</v>
      </c>
      <c r="K34" s="65">
        <f t="shared" si="0"/>
        <v>3637572228.5711498</v>
      </c>
      <c r="L34" s="68">
        <v>28</v>
      </c>
    </row>
    <row r="35" spans="1:12" ht="18.75" x14ac:dyDescent="0.3">
      <c r="A35" s="67">
        <v>29</v>
      </c>
      <c r="B35" s="65" t="s">
        <v>63</v>
      </c>
      <c r="C35" s="67">
        <v>30</v>
      </c>
      <c r="D35" s="65">
        <v>2747277746.8586001</v>
      </c>
      <c r="E35" s="65">
        <v>292309720.56690001</v>
      </c>
      <c r="F35" s="65">
        <v>306058917.52929997</v>
      </c>
      <c r="G35" s="65">
        <v>15502482.800899999</v>
      </c>
      <c r="H35" s="65">
        <v>2464401.8952000001</v>
      </c>
      <c r="I35" s="65">
        <v>92139106.476799995</v>
      </c>
      <c r="J35" s="77">
        <v>1591351370.0079999</v>
      </c>
      <c r="K35" s="65">
        <f t="shared" si="0"/>
        <v>5047103746.1356993</v>
      </c>
      <c r="L35" s="68">
        <v>29</v>
      </c>
    </row>
    <row r="36" spans="1:12" ht="18.75" x14ac:dyDescent="0.3">
      <c r="A36" s="67">
        <v>30</v>
      </c>
      <c r="B36" s="65" t="s">
        <v>64</v>
      </c>
      <c r="C36" s="67">
        <v>33</v>
      </c>
      <c r="D36" s="65">
        <v>3465476523.1491003</v>
      </c>
      <c r="E36" s="65">
        <v>316566911.02789998</v>
      </c>
      <c r="F36" s="65">
        <v>386069444.42089999</v>
      </c>
      <c r="G36" s="65">
        <v>19555172.482500002</v>
      </c>
      <c r="H36" s="65">
        <v>3108650.7083000001</v>
      </c>
      <c r="I36" s="65">
        <v>116226293.72</v>
      </c>
      <c r="J36" s="77">
        <v>2420952871.0794001</v>
      </c>
      <c r="K36" s="65">
        <f t="shared" si="0"/>
        <v>6727955866.5881004</v>
      </c>
      <c r="L36" s="68">
        <v>30</v>
      </c>
    </row>
    <row r="37" spans="1:12" ht="18.75" x14ac:dyDescent="0.3">
      <c r="A37" s="67">
        <v>31</v>
      </c>
      <c r="B37" s="65" t="s">
        <v>65</v>
      </c>
      <c r="C37" s="67">
        <v>17</v>
      </c>
      <c r="D37" s="65">
        <v>2172389454.8562002</v>
      </c>
      <c r="E37" s="65">
        <v>121337467.28820001</v>
      </c>
      <c r="F37" s="65">
        <v>242013813.771</v>
      </c>
      <c r="G37" s="65">
        <v>12258473.028000001</v>
      </c>
      <c r="H37" s="65">
        <v>1948707.4787000001</v>
      </c>
      <c r="I37" s="65">
        <v>36429156.735349998</v>
      </c>
      <c r="J37" s="77">
        <v>1068044032.8881</v>
      </c>
      <c r="K37" s="65">
        <f t="shared" si="0"/>
        <v>3654421106.0455503</v>
      </c>
      <c r="L37" s="68">
        <v>31</v>
      </c>
    </row>
    <row r="38" spans="1:12" ht="18.75" x14ac:dyDescent="0.3">
      <c r="A38" s="67">
        <v>32</v>
      </c>
      <c r="B38" s="65" t="s">
        <v>66</v>
      </c>
      <c r="C38" s="67">
        <v>23</v>
      </c>
      <c r="D38" s="65">
        <v>2692797159.8301001</v>
      </c>
      <c r="E38" s="65">
        <v>163290901.53560001</v>
      </c>
      <c r="F38" s="65">
        <v>299989538.66500002</v>
      </c>
      <c r="G38" s="65">
        <v>15195056.889699999</v>
      </c>
      <c r="H38" s="65">
        <v>2415530.9493</v>
      </c>
      <c r="I38" s="65">
        <v>45155959.295299999</v>
      </c>
      <c r="J38" s="77">
        <v>2378047689.4695001</v>
      </c>
      <c r="K38" s="65">
        <f t="shared" si="0"/>
        <v>5596891836.6345005</v>
      </c>
      <c r="L38" s="68">
        <v>32</v>
      </c>
    </row>
    <row r="39" spans="1:12" ht="18.75" x14ac:dyDescent="0.3">
      <c r="A39" s="67">
        <v>33</v>
      </c>
      <c r="B39" s="65" t="s">
        <v>67</v>
      </c>
      <c r="C39" s="67">
        <v>23</v>
      </c>
      <c r="D39" s="65">
        <v>2712063520.1458001</v>
      </c>
      <c r="E39" s="65">
        <v>199348110.43799999</v>
      </c>
      <c r="F39" s="65">
        <v>302135896.59619999</v>
      </c>
      <c r="G39" s="65">
        <v>15303774.1174</v>
      </c>
      <c r="H39" s="65">
        <v>2432813.5323999999</v>
      </c>
      <c r="I39" s="65">
        <v>90958080.13440001</v>
      </c>
      <c r="J39" s="77">
        <v>1340892807.6387</v>
      </c>
      <c r="K39" s="65">
        <f t="shared" si="0"/>
        <v>4663135002.6029005</v>
      </c>
      <c r="L39" s="68">
        <v>33</v>
      </c>
    </row>
    <row r="40" spans="1:12" ht="18.75" x14ac:dyDescent="0.3">
      <c r="A40" s="67">
        <v>34</v>
      </c>
      <c r="B40" s="65" t="s">
        <v>68</v>
      </c>
      <c r="C40" s="67">
        <v>16</v>
      </c>
      <c r="D40" s="65">
        <v>2032700681.7243001</v>
      </c>
      <c r="E40" s="65">
        <v>114157858.9931</v>
      </c>
      <c r="F40" s="65">
        <v>226451865.3132</v>
      </c>
      <c r="G40" s="65">
        <v>11470229.9004</v>
      </c>
      <c r="H40" s="65">
        <v>1823401.8818000001</v>
      </c>
      <c r="I40" s="65">
        <v>68173385.3653</v>
      </c>
      <c r="J40" s="77">
        <v>893535180.79970002</v>
      </c>
      <c r="K40" s="65">
        <f t="shared" si="0"/>
        <v>3348312603.9778004</v>
      </c>
      <c r="L40" s="68">
        <v>34</v>
      </c>
    </row>
    <row r="41" spans="1:12" ht="18.75" x14ac:dyDescent="0.3">
      <c r="A41" s="67">
        <v>35</v>
      </c>
      <c r="B41" s="65" t="s">
        <v>69</v>
      </c>
      <c r="C41" s="67">
        <v>17</v>
      </c>
      <c r="D41" s="65">
        <v>2043702394.904</v>
      </c>
      <c r="E41" s="65">
        <v>120882130.0599</v>
      </c>
      <c r="F41" s="65">
        <v>227677504.92359999</v>
      </c>
      <c r="G41" s="65">
        <v>11532310.944599999</v>
      </c>
      <c r="H41" s="65">
        <v>1833270.7938999999</v>
      </c>
      <c r="I41" s="65">
        <v>68542364.449299991</v>
      </c>
      <c r="J41" s="77">
        <v>968505257.74059999</v>
      </c>
      <c r="K41" s="65">
        <f t="shared" si="0"/>
        <v>3442675233.8159003</v>
      </c>
      <c r="L41" s="68">
        <v>35</v>
      </c>
    </row>
    <row r="42" spans="1:12" ht="18.75" x14ac:dyDescent="0.3">
      <c r="A42" s="67">
        <v>36</v>
      </c>
      <c r="B42" s="65" t="s">
        <v>70</v>
      </c>
      <c r="C42" s="67">
        <v>14</v>
      </c>
      <c r="D42" s="65">
        <v>1846621731.4929001</v>
      </c>
      <c r="E42" s="65">
        <v>100128763.58230001</v>
      </c>
      <c r="F42" s="65">
        <v>205721845.51550001</v>
      </c>
      <c r="G42" s="65">
        <v>10420213.8517</v>
      </c>
      <c r="H42" s="65">
        <v>1656482.7131000001</v>
      </c>
      <c r="I42" s="65">
        <v>61932608.211699992</v>
      </c>
      <c r="J42" s="77">
        <v>962432861.63610005</v>
      </c>
      <c r="K42" s="65">
        <f t="shared" si="0"/>
        <v>3188914507.0032997</v>
      </c>
      <c r="L42" s="68">
        <v>36</v>
      </c>
    </row>
    <row r="43" spans="1:12" ht="18.75" x14ac:dyDescent="0.3">
      <c r="A43" s="67">
        <v>37</v>
      </c>
      <c r="B43" s="65" t="s">
        <v>128</v>
      </c>
      <c r="C43" s="67">
        <v>6</v>
      </c>
      <c r="D43" s="65">
        <v>815596094.36789989</v>
      </c>
      <c r="E43" s="65">
        <v>42997908.051200002</v>
      </c>
      <c r="F43" s="65">
        <v>90861019.811000004</v>
      </c>
      <c r="G43" s="65">
        <v>4602288.3706999999</v>
      </c>
      <c r="H43" s="65">
        <v>731617.53049999999</v>
      </c>
      <c r="I43" s="65">
        <v>27353730.597899999</v>
      </c>
      <c r="J43" s="77">
        <v>3632560780.7999001</v>
      </c>
      <c r="K43" s="65">
        <f t="shared" si="0"/>
        <v>4614703439.5291004</v>
      </c>
      <c r="L43" s="68">
        <v>37</v>
      </c>
    </row>
    <row r="44" spans="1:12" ht="18.75" x14ac:dyDescent="0.3">
      <c r="A44" s="67"/>
      <c r="B44" s="65" t="s">
        <v>130</v>
      </c>
      <c r="C44" s="67"/>
      <c r="D44" s="65"/>
      <c r="E44" s="65"/>
      <c r="F44" s="65"/>
      <c r="G44" s="65"/>
      <c r="H44" s="65"/>
      <c r="I44" s="65">
        <v>249574107.41864997</v>
      </c>
      <c r="J44" s="77"/>
      <c r="K44" s="65">
        <f t="shared" si="0"/>
        <v>249574107.41864997</v>
      </c>
      <c r="L44" s="68"/>
    </row>
    <row r="45" spans="1:12" ht="18.75" x14ac:dyDescent="0.3">
      <c r="A45" s="67"/>
      <c r="B45" s="65" t="s">
        <v>131</v>
      </c>
      <c r="C45" s="67"/>
      <c r="D45" s="65"/>
      <c r="E45" s="65"/>
      <c r="F45" s="65"/>
      <c r="G45" s="65"/>
      <c r="H45" s="65"/>
      <c r="I45" s="65">
        <v>338678757.29479992</v>
      </c>
      <c r="J45" s="77"/>
      <c r="K45" s="65">
        <f t="shared" si="0"/>
        <v>338678757.29479992</v>
      </c>
      <c r="L45" s="68"/>
    </row>
    <row r="46" spans="1:12" ht="19.5" x14ac:dyDescent="0.35">
      <c r="A46" s="67"/>
      <c r="B46" s="69" t="s">
        <v>129</v>
      </c>
      <c r="C46" s="65"/>
      <c r="D46" s="70">
        <f>SUM(D7:D45)</f>
        <v>89763035465.047409</v>
      </c>
      <c r="E46" s="70">
        <f t="shared" ref="E46:K46" si="1">SUM(E7:E45)</f>
        <v>-3021843571.5657997</v>
      </c>
      <c r="F46" s="70">
        <f t="shared" si="1"/>
        <v>9999999999.9997005</v>
      </c>
      <c r="G46" s="70">
        <f t="shared" si="1"/>
        <v>506519559.2403999</v>
      </c>
      <c r="H46" s="70">
        <f t="shared" si="1"/>
        <v>80520506.166999996</v>
      </c>
      <c r="I46" s="70">
        <f>SUM(I7:I45)</f>
        <v>3010502265.9457998</v>
      </c>
      <c r="J46" s="70">
        <f t="shared" si="1"/>
        <v>58179717761.8125</v>
      </c>
      <c r="K46" s="70">
        <f t="shared" si="1"/>
        <v>158518451986.64703</v>
      </c>
      <c r="L46" s="68"/>
    </row>
    <row r="48" spans="1:12" x14ac:dyDescent="0.2">
      <c r="J48" s="14"/>
    </row>
    <row r="49" spans="10:11" x14ac:dyDescent="0.2">
      <c r="J49" s="14"/>
      <c r="K49" s="14"/>
    </row>
    <row r="50" spans="10:11" x14ac:dyDescent="0.2">
      <c r="K50" s="14"/>
    </row>
    <row r="51" spans="10:11" x14ac:dyDescent="0.2">
      <c r="J51" s="14"/>
      <c r="K51" s="83"/>
    </row>
    <row r="53" spans="10:11" x14ac:dyDescent="0.2">
      <c r="K53" s="15"/>
    </row>
    <row r="55" spans="10:11" x14ac:dyDescent="0.2">
      <c r="K55" s="14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Ecology to States Sept 2021</vt:lpstr>
      <vt:lpstr>sum Lgcs 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OJ</cp:lastModifiedBy>
  <cp:lastPrinted>2021-11-02T09:50:01Z</cp:lastPrinted>
  <dcterms:created xsi:type="dcterms:W3CDTF">2003-11-12T08:54:16Z</dcterms:created>
  <dcterms:modified xsi:type="dcterms:W3CDTF">2021-12-23T11:52:07Z</dcterms:modified>
</cp:coreProperties>
</file>